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4850" windowHeight="9000" activeTab="0"/>
  </bookViews>
  <sheets>
    <sheet name="入力" sheetId="1" r:id="rId1"/>
    <sheet name="印刷" sheetId="2" r:id="rId2"/>
  </sheets>
  <externalReferences>
    <externalReference r:id="rId5"/>
  </externalReferences>
  <definedNames>
    <definedName name="_xlnm.Print_Area" localSheetId="1">'印刷'!$B$2:$I$122</definedName>
    <definedName name="_xlnm.Print_Area" localSheetId="0">'入力'!$A$1:$J$43</definedName>
    <definedName name="_xlnm.Print_Area">'入力'!#REF!</definedName>
    <definedName name="鉄筋断面">'入力'!$B$55:$D$65</definedName>
  </definedNames>
  <calcPr fullCalcOnLoad="1"/>
</workbook>
</file>

<file path=xl/comments1.xml><?xml version="1.0" encoding="utf-8"?>
<comments xmlns="http://schemas.openxmlformats.org/spreadsheetml/2006/main">
  <authors>
    <author>nsts4012</author>
  </authors>
  <commentList>
    <comment ref="E24" authorId="0">
      <text>
        <r>
          <rPr>
            <b/>
            <sz val="9"/>
            <color indexed="10"/>
            <rFont val="ＭＳ Ｐゴシック"/>
            <family val="3"/>
          </rPr>
          <t>単鉄筋の場合は0</t>
        </r>
      </text>
    </comment>
    <comment ref="E23" authorId="0">
      <text>
        <r>
          <rPr>
            <b/>
            <sz val="9"/>
            <color indexed="10"/>
            <rFont val="ＭＳ Ｐゴシック"/>
            <family val="3"/>
          </rPr>
          <t>単鉄筋の場合は0</t>
        </r>
      </text>
    </comment>
    <comment ref="E21" authorId="0">
      <text>
        <r>
          <rPr>
            <sz val="9"/>
            <rFont val="ＭＳ Ｐゴシック"/>
            <family val="3"/>
          </rPr>
          <t xml:space="preserve">有効高は底厚を超えないこと
</t>
        </r>
      </text>
    </comment>
  </commentList>
</comments>
</file>

<file path=xl/sharedStrings.xml><?xml version="1.0" encoding="utf-8"?>
<sst xmlns="http://schemas.openxmlformats.org/spreadsheetml/2006/main" count="137" uniqueCount="121">
  <si>
    <t>《《断面諸元》》</t>
  </si>
  <si>
    <t>引張り鉄筋径 Ｄ??</t>
  </si>
  <si>
    <t>圧縮鉄筋径   Ｄ??</t>
  </si>
  <si>
    <t>作用荷重</t>
  </si>
  <si>
    <t>****** 計 算 結 果 *****</t>
  </si>
  <si>
    <t>ﾔﾝｸﾞ係数比</t>
  </si>
  <si>
    <t>鉄筋径Ｄ</t>
  </si>
  <si>
    <t>断面積</t>
  </si>
  <si>
    <t>引張鉄筋量Ａｓ</t>
  </si>
  <si>
    <t>圧縮鉄筋量Ａｓ’</t>
  </si>
  <si>
    <t>As'=0の時は0にする</t>
  </si>
  <si>
    <t>P =As/bd</t>
  </si>
  <si>
    <t>Pd =As'/bd</t>
  </si>
  <si>
    <t>K=√(2N(P+Pd(d'/d))+N^2(P+Pd)^2)-N(P+Pd)</t>
  </si>
  <si>
    <t>X=Kd</t>
  </si>
  <si>
    <t>Lc=(K/2)(1-K/3)+(N Pd/K)(K-d'/d)(1-d'/d)</t>
  </si>
  <si>
    <t>応力度</t>
  </si>
  <si>
    <t>σc=M/(bd^2Lc)</t>
  </si>
  <si>
    <t>σs=Nσc(1-K)/K</t>
  </si>
  <si>
    <t>τ=S/Bd</t>
  </si>
  <si>
    <t>配筋本数</t>
  </si>
  <si>
    <t>σca</t>
  </si>
  <si>
    <t>σsa</t>
  </si>
  <si>
    <t>周長</t>
  </si>
  <si>
    <t>許容応力度</t>
  </si>
  <si>
    <t>τa</t>
  </si>
  <si>
    <t/>
  </si>
  <si>
    <t>τo=1.15*Smax/(U*d)</t>
  </si>
  <si>
    <t>引張鉄筋量</t>
  </si>
  <si>
    <t>圧縮鉄筋量</t>
  </si>
  <si>
    <t>鉄筋許容応力度</t>
  </si>
  <si>
    <t>コンクリート許容応力度</t>
  </si>
  <si>
    <t>引っ張り</t>
  </si>
  <si>
    <t>圧縮</t>
  </si>
  <si>
    <t>せん断力      Ｓ（kN）</t>
  </si>
  <si>
    <t>τoa</t>
  </si>
  <si>
    <r>
      <t>τa</t>
    </r>
    <r>
      <rPr>
        <sz val="11"/>
        <rFont val="ＭＳ Ｐゴシック"/>
        <family val="3"/>
      </rPr>
      <t>(N/m</t>
    </r>
    <r>
      <rPr>
        <sz val="11"/>
        <rFont val="ＭＳ Ｐゴシック"/>
        <family val="3"/>
      </rPr>
      <t>㎡</t>
    </r>
    <r>
      <rPr>
        <sz val="11"/>
        <rFont val="ＭＳ Ｐゴシック"/>
        <family val="3"/>
      </rPr>
      <t>)</t>
    </r>
  </si>
  <si>
    <r>
      <t>τoa</t>
    </r>
    <r>
      <rPr>
        <sz val="11"/>
        <rFont val="ＭＳ Ｐゴシック"/>
        <family val="3"/>
      </rPr>
      <t>(N/m</t>
    </r>
    <r>
      <rPr>
        <sz val="11"/>
        <rFont val="ＭＳ Ｐゴシック"/>
        <family val="3"/>
      </rPr>
      <t>㎡</t>
    </r>
    <r>
      <rPr>
        <sz val="11"/>
        <rFont val="ＭＳ Ｐゴシック"/>
        <family val="3"/>
      </rPr>
      <t>)</t>
    </r>
  </si>
  <si>
    <t>コンクリートの呼び強度(N/m㎡)</t>
  </si>
  <si>
    <r>
      <t>鉄筋の許容応力度σsa</t>
    </r>
    <r>
      <rPr>
        <sz val="11"/>
        <rFont val="ＭＳ Ｐゴシック"/>
        <family val="3"/>
      </rPr>
      <t>(N/m</t>
    </r>
    <r>
      <rPr>
        <sz val="11"/>
        <rFont val="ＭＳ Ｐゴシック"/>
        <family val="3"/>
      </rPr>
      <t>㎡</t>
    </r>
    <r>
      <rPr>
        <sz val="11"/>
        <rFont val="ＭＳ Ｐゴシック"/>
        <family val="3"/>
      </rPr>
      <t>)</t>
    </r>
  </si>
  <si>
    <r>
      <t>σca</t>
    </r>
    <r>
      <rPr>
        <sz val="11"/>
        <rFont val="ＭＳ Ｐゴシック"/>
        <family val="3"/>
      </rPr>
      <t>(N/m</t>
    </r>
    <r>
      <rPr>
        <sz val="11"/>
        <rFont val="ＭＳ Ｐゴシック"/>
        <family val="3"/>
      </rPr>
      <t>㎡</t>
    </r>
    <r>
      <rPr>
        <sz val="11"/>
        <rFont val="ＭＳ Ｐゴシック"/>
        <family val="3"/>
      </rPr>
      <t>)</t>
    </r>
  </si>
  <si>
    <t>曲げモーメントＭ（kN･ｍ）</t>
  </si>
  <si>
    <r>
      <t>σc</t>
    </r>
    <r>
      <rPr>
        <sz val="11"/>
        <rFont val="ＭＳ Ｐゴシック"/>
        <family val="3"/>
      </rPr>
      <t>(N/m</t>
    </r>
    <r>
      <rPr>
        <sz val="11"/>
        <rFont val="ＭＳ Ｐゴシック"/>
        <family val="3"/>
      </rPr>
      <t>㎡</t>
    </r>
    <r>
      <rPr>
        <sz val="11"/>
        <rFont val="ＭＳ Ｐゴシック"/>
        <family val="3"/>
      </rPr>
      <t>)</t>
    </r>
  </si>
  <si>
    <r>
      <t>σs</t>
    </r>
    <r>
      <rPr>
        <sz val="11"/>
        <rFont val="ＭＳ Ｐゴシック"/>
        <family val="3"/>
      </rPr>
      <t>(N/m</t>
    </r>
    <r>
      <rPr>
        <sz val="11"/>
        <rFont val="ＭＳ Ｐゴシック"/>
        <family val="3"/>
      </rPr>
      <t>㎡</t>
    </r>
    <r>
      <rPr>
        <sz val="11"/>
        <rFont val="ＭＳ Ｐゴシック"/>
        <family val="3"/>
      </rPr>
      <t>)</t>
    </r>
  </si>
  <si>
    <t>τ(N/m㎡)</t>
  </si>
  <si>
    <r>
      <t>τo</t>
    </r>
    <r>
      <rPr>
        <sz val="11"/>
        <rFont val="ＭＳ Ｐゴシック"/>
        <family val="3"/>
      </rPr>
      <t>(N/m</t>
    </r>
    <r>
      <rPr>
        <sz val="11"/>
        <rFont val="ＭＳ Ｐゴシック"/>
        <family val="3"/>
      </rPr>
      <t>㎡</t>
    </r>
    <r>
      <rPr>
        <sz val="11"/>
        <rFont val="ＭＳ Ｐゴシック"/>
        <family val="3"/>
      </rPr>
      <t>)</t>
    </r>
  </si>
  <si>
    <t>断面幅(mm)</t>
  </si>
  <si>
    <t>有効高　ｄ（mm）</t>
  </si>
  <si>
    <t>有効高　ｄ'（mm）</t>
  </si>
  <si>
    <t>有効高　ｄ(mm）</t>
  </si>
  <si>
    <r>
      <t>(</t>
    </r>
    <r>
      <rPr>
        <sz val="11"/>
        <rFont val="ＭＳ Ｐゴシック"/>
        <family val="3"/>
      </rPr>
      <t>N/m㎡</t>
    </r>
    <r>
      <rPr>
        <sz val="11"/>
        <rFont val="ＭＳ Ｐゴシック"/>
        <family val="3"/>
      </rPr>
      <t>)</t>
    </r>
  </si>
  <si>
    <t>N/m㎡</t>
  </si>
  <si>
    <t>設計条件</t>
  </si>
  <si>
    <t>水路幅</t>
  </si>
  <si>
    <t>B（ｍ）</t>
  </si>
  <si>
    <t>水路深</t>
  </si>
  <si>
    <t>H（ｍ）</t>
  </si>
  <si>
    <t>側壁厚</t>
  </si>
  <si>
    <t>ｔ（ｍ）</t>
  </si>
  <si>
    <t>底厚</t>
  </si>
  <si>
    <t>h（ｍ）</t>
  </si>
  <si>
    <t>支間長</t>
  </si>
  <si>
    <t>L（ｍ）</t>
  </si>
  <si>
    <t>γc（KN/m3）</t>
  </si>
  <si>
    <t>コンクリートの単位重量</t>
  </si>
  <si>
    <t>水の単位重量</t>
  </si>
  <si>
    <t>γw（KN/m3）</t>
  </si>
  <si>
    <t>P（KN）</t>
  </si>
  <si>
    <t>活荷重（中央載荷集中荷重）</t>
  </si>
  <si>
    <t>説明</t>
  </si>
  <si>
    <t>支間中央に60kgの大人3名</t>
  </si>
  <si>
    <t>印刷様式</t>
  </si>
  <si>
    <r>
      <t>1</t>
    </r>
    <r>
      <rPr>
        <sz val="11"/>
        <rFont val="ＭＳ Ｐゴシック"/>
        <family val="3"/>
      </rPr>
      <t>.荷重の計算</t>
    </r>
  </si>
  <si>
    <t>死荷重</t>
  </si>
  <si>
    <t>水路全幅</t>
  </si>
  <si>
    <t>b（ｍ）</t>
  </si>
  <si>
    <t>水路自重　wd=（t×H×2+b×h）×γc</t>
  </si>
  <si>
    <t>水路内水重　ww=B×H×γw</t>
  </si>
  <si>
    <t>KN</t>
  </si>
  <si>
    <t>KN/m</t>
  </si>
  <si>
    <t>活荷重</t>
  </si>
  <si>
    <t>2.作用断面力</t>
  </si>
  <si>
    <t>　　支間中央での曲げモーメント</t>
  </si>
  <si>
    <t>M=Md+Ml</t>
  </si>
  <si>
    <t>P</t>
  </si>
  <si>
    <t>wd</t>
  </si>
  <si>
    <t>ww</t>
  </si>
  <si>
    <r>
      <t>K</t>
    </r>
    <r>
      <rPr>
        <sz val="11"/>
        <rFont val="ＭＳ Ｐゴシック"/>
        <family val="3"/>
      </rPr>
      <t>N･m</t>
    </r>
  </si>
  <si>
    <t>　　支点部でのせん断力</t>
  </si>
  <si>
    <t>S=Sd+Sl</t>
  </si>
  <si>
    <t>RCスラブの断面諸元</t>
  </si>
  <si>
    <r>
      <t>K</t>
    </r>
    <r>
      <rPr>
        <sz val="11"/>
        <rFont val="ＭＳ Ｐゴシック"/>
        <family val="3"/>
      </rPr>
      <t>N</t>
    </r>
  </si>
  <si>
    <t>左式より</t>
  </si>
  <si>
    <t>C1</t>
  </si>
  <si>
    <t>d</t>
  </si>
  <si>
    <r>
      <t>m</t>
    </r>
    <r>
      <rPr>
        <sz val="11"/>
        <rFont val="ＭＳ Ｐゴシック"/>
        <family val="3"/>
      </rPr>
      <t>m</t>
    </r>
  </si>
  <si>
    <r>
      <t>3</t>
    </r>
    <r>
      <rPr>
        <sz val="11"/>
        <rFont val="ＭＳ Ｐゴシック"/>
        <family val="3"/>
      </rPr>
      <t>.最小有効高および必要鉄筋量</t>
    </r>
  </si>
  <si>
    <t>　　最小有効高</t>
  </si>
  <si>
    <t>以上より、有効高は</t>
  </si>
  <si>
    <t>mm</t>
  </si>
  <si>
    <t>　　必要鉄筋量</t>
  </si>
  <si>
    <t>Asreq</t>
  </si>
  <si>
    <t>m㎡</t>
  </si>
  <si>
    <t>As</t>
  </si>
  <si>
    <t>内に入力</t>
  </si>
  <si>
    <t>条件は</t>
  </si>
  <si>
    <t>水路橋の設計（スラブ形式）Ver1.01</t>
  </si>
  <si>
    <t>τ</t>
  </si>
  <si>
    <t>τo</t>
  </si>
  <si>
    <t>σs'</t>
  </si>
  <si>
    <t>σs</t>
  </si>
  <si>
    <t>σc</t>
  </si>
  <si>
    <t>Lc</t>
  </si>
  <si>
    <t>X</t>
  </si>
  <si>
    <t>K</t>
  </si>
  <si>
    <t>P</t>
  </si>
  <si>
    <t>Pd</t>
  </si>
  <si>
    <t>U</t>
  </si>
  <si>
    <t>x</t>
  </si>
  <si>
    <t>y</t>
  </si>
  <si>
    <t>水路底版を有効断面とした鉄筋コンクリートスラブとして計算する。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</si>
</sst>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"/>
    <numFmt numFmtId="177" formatCode="#,##0.0000"/>
    <numFmt numFmtId="178" formatCode="#,##0.0"/>
    <numFmt numFmtId="179" formatCode="#,##0.00000"/>
    <numFmt numFmtId="180" formatCode="0.0"/>
    <numFmt numFmtId="181" formatCode="0.00_);[Red]\(0.00\)"/>
    <numFmt numFmtId="182" formatCode="0.0_ "/>
    <numFmt numFmtId="183" formatCode="0_ "/>
    <numFmt numFmtId="184" formatCode="0.00_ "/>
    <numFmt numFmtId="185" formatCode="#,##0.00_ "/>
    <numFmt numFmtId="186" formatCode="#,##0.0_ "/>
    <numFmt numFmtId="187" formatCode="0.0_);[Red]\(0.0\)"/>
    <numFmt numFmtId="188" formatCode="0.000_ "/>
  </numFmts>
  <fonts count="14">
    <font>
      <sz val="11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7"/>
      <name val="ＭＳ Ｐ明朝"/>
      <family val="1"/>
    </font>
    <font>
      <sz val="14"/>
      <name val="ＭＳ Ｐゴシック"/>
      <family val="3"/>
    </font>
    <font>
      <u val="single"/>
      <sz val="11"/>
      <name val="ＭＳ Ｐゴシック"/>
      <family val="3"/>
    </font>
    <font>
      <sz val="9"/>
      <name val="MS UI Gothic"/>
      <family val="3"/>
    </font>
    <font>
      <sz val="12"/>
      <name val="ＭＳ Ｐゴシック"/>
      <family val="3"/>
    </font>
    <font>
      <b/>
      <sz val="9"/>
      <color indexed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4.25"/>
      <name val="ＭＳ Ｐゴシック"/>
      <family val="3"/>
    </font>
    <font>
      <b/>
      <sz val="8"/>
      <name val="ＭＳ Ｐゴシック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dotted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5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0" fontId="0" fillId="0" borderId="1" xfId="0" applyNumberFormat="1" applyFont="1" applyAlignment="1">
      <alignment/>
    </xf>
    <xf numFmtId="0" fontId="0" fillId="0" borderId="2" xfId="0" applyNumberFormat="1" applyFont="1" applyAlignment="1">
      <alignment/>
    </xf>
    <xf numFmtId="0" fontId="0" fillId="0" borderId="3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0" fontId="0" fillId="0" borderId="4" xfId="0" applyNumberFormat="1" applyFont="1" applyBorder="1" applyAlignment="1">
      <alignment/>
    </xf>
    <xf numFmtId="0" fontId="0" fillId="0" borderId="5" xfId="0" applyNumberFormat="1" applyFont="1" applyBorder="1" applyAlignment="1">
      <alignment/>
    </xf>
    <xf numFmtId="0" fontId="0" fillId="0" borderId="6" xfId="0" applyNumberFormat="1" applyFont="1" applyBorder="1" applyAlignment="1">
      <alignment/>
    </xf>
    <xf numFmtId="0" fontId="0" fillId="0" borderId="7" xfId="0" applyNumberFormat="1" applyFont="1" applyBorder="1" applyAlignment="1">
      <alignment/>
    </xf>
    <xf numFmtId="0" fontId="0" fillId="0" borderId="8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9" xfId="0" applyNumberFormat="1" applyFont="1" applyBorder="1" applyAlignment="1">
      <alignment/>
    </xf>
    <xf numFmtId="4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177" fontId="0" fillId="0" borderId="13" xfId="0" applyNumberFormat="1" applyFont="1" applyBorder="1" applyAlignment="1">
      <alignment/>
    </xf>
    <xf numFmtId="0" fontId="0" fillId="0" borderId="1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78" fontId="0" fillId="0" borderId="0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2" borderId="0" xfId="0" applyNumberFormat="1" applyFont="1" applyFill="1" applyAlignment="1">
      <alignment/>
    </xf>
    <xf numFmtId="0" fontId="0" fillId="3" borderId="0" xfId="0" applyNumberFormat="1" applyFont="1" applyFill="1" applyAlignment="1">
      <alignment/>
    </xf>
    <xf numFmtId="0" fontId="0" fillId="4" borderId="0" xfId="0" applyNumberFormat="1" applyFont="1" applyFill="1" applyAlignment="1">
      <alignment/>
    </xf>
    <xf numFmtId="0" fontId="8" fillId="0" borderId="0" xfId="0" applyNumberFormat="1" applyFont="1" applyAlignment="1">
      <alignment/>
    </xf>
    <xf numFmtId="0" fontId="0" fillId="0" borderId="4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/>
    </xf>
    <xf numFmtId="182" fontId="0" fillId="0" borderId="13" xfId="0" applyNumberFormat="1" applyFont="1" applyBorder="1" applyAlignment="1">
      <alignment/>
    </xf>
    <xf numFmtId="183" fontId="0" fillId="0" borderId="13" xfId="0" applyNumberFormat="1" applyFont="1" applyBorder="1" applyAlignment="1">
      <alignment/>
    </xf>
    <xf numFmtId="184" fontId="0" fillId="0" borderId="13" xfId="0" applyNumberFormat="1" applyFont="1" applyBorder="1" applyAlignment="1">
      <alignment/>
    </xf>
    <xf numFmtId="184" fontId="0" fillId="0" borderId="13" xfId="0" applyNumberFormat="1" applyFont="1" applyFill="1" applyBorder="1" applyAlignment="1">
      <alignment/>
    </xf>
    <xf numFmtId="185" fontId="0" fillId="0" borderId="13" xfId="0" applyNumberFormat="1" applyFont="1" applyBorder="1" applyAlignment="1">
      <alignment/>
    </xf>
    <xf numFmtId="181" fontId="0" fillId="0" borderId="4" xfId="0" applyNumberFormat="1" applyFont="1" applyBorder="1" applyAlignment="1">
      <alignment/>
    </xf>
    <xf numFmtId="184" fontId="0" fillId="0" borderId="14" xfId="0" applyNumberFormat="1" applyFont="1" applyBorder="1" applyAlignment="1">
      <alignment/>
    </xf>
    <xf numFmtId="0" fontId="0" fillId="0" borderId="13" xfId="0" applyNumberFormat="1" applyFont="1" applyBorder="1" applyAlignment="1" applyProtection="1">
      <alignment/>
      <protection locked="0"/>
    </xf>
    <xf numFmtId="4" fontId="0" fillId="0" borderId="13" xfId="0" applyNumberFormat="1" applyFont="1" applyBorder="1" applyAlignment="1">
      <alignment/>
    </xf>
    <xf numFmtId="187" fontId="0" fillId="0" borderId="13" xfId="0" applyNumberFormat="1" applyFont="1" applyBorder="1" applyAlignment="1">
      <alignment/>
    </xf>
    <xf numFmtId="185" fontId="0" fillId="0" borderId="13" xfId="0" applyNumberFormat="1" applyFont="1" applyBorder="1" applyAlignment="1">
      <alignment/>
    </xf>
    <xf numFmtId="178" fontId="0" fillId="0" borderId="13" xfId="0" applyNumberFormat="1" applyFont="1" applyBorder="1" applyAlignment="1">
      <alignment/>
    </xf>
    <xf numFmtId="176" fontId="0" fillId="0" borderId="13" xfId="0" applyNumberFormat="1" applyFont="1" applyBorder="1" applyAlignment="1">
      <alignment/>
    </xf>
    <xf numFmtId="187" fontId="0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7" fontId="0" fillId="0" borderId="13" xfId="0" applyNumberFormat="1" applyFont="1" applyBorder="1" applyAlignment="1" applyProtection="1">
      <alignment/>
      <protection locked="0"/>
    </xf>
    <xf numFmtId="185" fontId="0" fillId="0" borderId="13" xfId="0" applyNumberFormat="1" applyFont="1" applyBorder="1" applyAlignment="1" applyProtection="1">
      <alignment/>
      <protection locked="0"/>
    </xf>
    <xf numFmtId="0" fontId="0" fillId="0" borderId="15" xfId="0" applyNumberFormat="1" applyFont="1" applyBorder="1" applyAlignment="1">
      <alignment/>
    </xf>
    <xf numFmtId="188" fontId="0" fillId="0" borderId="13" xfId="0" applyNumberFormat="1" applyFont="1" applyBorder="1" applyAlignment="1">
      <alignment/>
    </xf>
    <xf numFmtId="184" fontId="0" fillId="0" borderId="15" xfId="0" applyNumberFormat="1" applyFont="1" applyBorder="1" applyAlignment="1">
      <alignment/>
    </xf>
    <xf numFmtId="0" fontId="0" fillId="0" borderId="16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19" xfId="0" applyNumberFormat="1" applyFont="1" applyBorder="1" applyAlignment="1">
      <alignment/>
    </xf>
    <xf numFmtId="0" fontId="0" fillId="0" borderId="20" xfId="0" applyNumberFormat="1" applyFont="1" applyBorder="1" applyAlignment="1">
      <alignment/>
    </xf>
    <xf numFmtId="0" fontId="0" fillId="0" borderId="19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right"/>
    </xf>
    <xf numFmtId="0" fontId="0" fillId="0" borderId="21" xfId="0" applyNumberFormat="1" applyFont="1" applyBorder="1" applyAlignment="1">
      <alignment/>
    </xf>
    <xf numFmtId="0" fontId="0" fillId="0" borderId="22" xfId="0" applyNumberFormat="1" applyFont="1" applyBorder="1" applyAlignment="1">
      <alignment/>
    </xf>
    <xf numFmtId="0" fontId="0" fillId="0" borderId="23" xfId="0" applyNumberFormat="1" applyFont="1" applyBorder="1" applyAlignment="1">
      <alignment/>
    </xf>
    <xf numFmtId="179" fontId="0" fillId="0" borderId="13" xfId="0" applyNumberFormat="1" applyFont="1" applyBorder="1" applyAlignment="1">
      <alignment/>
    </xf>
    <xf numFmtId="176" fontId="0" fillId="0" borderId="13" xfId="0" applyNumberFormat="1" applyFont="1" applyBorder="1" applyAlignment="1">
      <alignment/>
    </xf>
    <xf numFmtId="0" fontId="0" fillId="0" borderId="13" xfId="0" applyNumberFormat="1" applyFont="1" applyBorder="1" applyAlignment="1">
      <alignment/>
    </xf>
    <xf numFmtId="3" fontId="0" fillId="5" borderId="13" xfId="0" applyNumberFormat="1" applyFont="1" applyFill="1" applyBorder="1" applyAlignment="1" applyProtection="1">
      <alignment/>
      <protection locked="0"/>
    </xf>
    <xf numFmtId="187" fontId="0" fillId="5" borderId="13" xfId="0" applyNumberFormat="1" applyFont="1" applyFill="1" applyBorder="1" applyAlignment="1" applyProtection="1">
      <alignment/>
      <protection locked="0"/>
    </xf>
    <xf numFmtId="0" fontId="0" fillId="5" borderId="13" xfId="0" applyNumberFormat="1" applyFont="1" applyFill="1" applyBorder="1" applyAlignment="1" applyProtection="1">
      <alignment/>
      <protection locked="0"/>
    </xf>
    <xf numFmtId="0" fontId="0" fillId="5" borderId="13" xfId="0" applyNumberFormat="1" applyFont="1" applyFill="1" applyBorder="1" applyAlignment="1">
      <alignment/>
    </xf>
    <xf numFmtId="0" fontId="0" fillId="0" borderId="0" xfId="0" applyNumberFormat="1" applyFont="1" applyAlignment="1">
      <alignment horizontal="right"/>
    </xf>
    <xf numFmtId="0" fontId="0" fillId="0" borderId="15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13" xfId="0" applyBorder="1" applyAlignment="1">
      <alignment/>
    </xf>
    <xf numFmtId="184" fontId="0" fillId="5" borderId="13" xfId="0" applyNumberFormat="1" applyFont="1" applyFill="1" applyBorder="1" applyAlignment="1" applyProtection="1">
      <alignment/>
      <protection locked="0"/>
    </xf>
  </cellXfs>
  <cellStyles count="1">
    <cellStyle name="Normal" xfId="0"/>
  </cellStyles>
  <dxfs count="2">
    <dxf>
      <font>
        <b/>
        <i val="0"/>
        <color rgb="FFFF0000"/>
      </font>
      <border/>
    </dxf>
    <dxf>
      <font>
        <b/>
        <i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'入力'!$M$3:$M$11</c:f>
              <c:numCache/>
            </c:numRef>
          </c:xVal>
          <c:yVal>
            <c:numRef>
              <c:f>'入力'!$N$3:$N$11</c:f>
              <c:numCache/>
            </c:numRef>
          </c:yVal>
          <c:smooth val="0"/>
        </c:ser>
        <c:ser>
          <c:idx val="1"/>
          <c:order val="1"/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'入力'!$O$3:$O$4</c:f>
              <c:numCache/>
            </c:numRef>
          </c:xVal>
          <c:yVal>
            <c:numRef>
              <c:f>'入力'!$P$3:$P$4</c:f>
              <c:numCache/>
            </c:numRef>
          </c:yVal>
          <c:smooth val="0"/>
        </c:ser>
        <c:axId val="48941142"/>
        <c:axId val="37817095"/>
      </c:scatterChart>
      <c:valAx>
        <c:axId val="489411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7817095"/>
        <c:crosses val="autoZero"/>
        <c:crossBetween val="midCat"/>
        <c:dispUnits/>
      </c:valAx>
      <c:valAx>
        <c:axId val="3781709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crossAx val="48941142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'入力'!$M$3:$M$11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0.15</c:v>
                </c:pt>
                <c:pt idx="3">
                  <c:v>0.15</c:v>
                </c:pt>
                <c:pt idx="4">
                  <c:v>0.65</c:v>
                </c:pt>
                <c:pt idx="5">
                  <c:v>0.65</c:v>
                </c:pt>
                <c:pt idx="6">
                  <c:v>0.8</c:v>
                </c:pt>
                <c:pt idx="7">
                  <c:v>0.8</c:v>
                </c:pt>
                <c:pt idx="8">
                  <c:v>0</c:v>
                </c:pt>
              </c:numCache>
            </c:numRef>
          </c:xVal>
          <c:yVal>
            <c:numRef>
              <c:f>'入力'!$N$3:$N$11</c:f>
              <c:numCache>
                <c:ptCount val="9"/>
                <c:pt idx="0">
                  <c:v>0</c:v>
                </c:pt>
                <c:pt idx="1">
                  <c:v>0.65</c:v>
                </c:pt>
                <c:pt idx="2">
                  <c:v>0.65</c:v>
                </c:pt>
                <c:pt idx="3">
                  <c:v>0.25</c:v>
                </c:pt>
                <c:pt idx="4">
                  <c:v>0.25</c:v>
                </c:pt>
                <c:pt idx="5">
                  <c:v>0.65</c:v>
                </c:pt>
                <c:pt idx="6">
                  <c:v>0.65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'入力'!$O$3:$O$4</c:f>
              <c:numCache>
                <c:ptCount val="2"/>
                <c:pt idx="0">
                  <c:v>0.05</c:v>
                </c:pt>
                <c:pt idx="1">
                  <c:v>0.75</c:v>
                </c:pt>
              </c:numCache>
            </c:numRef>
          </c:xVal>
          <c:yVal>
            <c:numRef>
              <c:f>'入力'!$P$3:$P$4</c:f>
              <c:numCache>
                <c:ptCount val="2"/>
                <c:pt idx="0">
                  <c:v>0.06</c:v>
                </c:pt>
                <c:pt idx="1">
                  <c:v>0.06</c:v>
                </c:pt>
              </c:numCache>
            </c:numRef>
          </c:yVal>
          <c:smooth val="0"/>
        </c:ser>
        <c:axId val="4809536"/>
        <c:axId val="43285825"/>
      </c:scatterChart>
      <c:valAx>
        <c:axId val="48095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3285825"/>
        <c:crosses val="autoZero"/>
        <c:crossBetween val="midCat"/>
        <c:dispUnits/>
      </c:valAx>
      <c:valAx>
        <c:axId val="4328582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crossAx val="4809536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8.emf" /><Relationship Id="rId3" Type="http://schemas.openxmlformats.org/officeDocument/2006/relationships/image" Target="../media/image2.emf" /><Relationship Id="rId4" Type="http://schemas.openxmlformats.org/officeDocument/2006/relationships/image" Target="../media/image5.emf" /><Relationship Id="rId5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66675</xdr:colOff>
      <xdr:row>0</xdr:row>
      <xdr:rowOff>133350</xdr:rowOff>
    </xdr:from>
    <xdr:to>
      <xdr:col>16</xdr:col>
      <xdr:colOff>38100</xdr:colOff>
      <xdr:row>13</xdr:row>
      <xdr:rowOff>66675</xdr:rowOff>
    </xdr:to>
    <xdr:graphicFrame>
      <xdr:nvGraphicFramePr>
        <xdr:cNvPr id="1" name="Chart 22"/>
        <xdr:cNvGraphicFramePr/>
      </xdr:nvGraphicFramePr>
      <xdr:xfrm>
        <a:off x="9058275" y="133350"/>
        <a:ext cx="32575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3</xdr:row>
      <xdr:rowOff>19050</xdr:rowOff>
    </xdr:from>
    <xdr:to>
      <xdr:col>8</xdr:col>
      <xdr:colOff>723900</xdr:colOff>
      <xdr:row>13</xdr:row>
      <xdr:rowOff>47625</xdr:rowOff>
    </xdr:to>
    <xdr:graphicFrame>
      <xdr:nvGraphicFramePr>
        <xdr:cNvPr id="1" name="Chart 19"/>
        <xdr:cNvGraphicFramePr/>
      </xdr:nvGraphicFramePr>
      <xdr:xfrm>
        <a:off x="5962650" y="542925"/>
        <a:ext cx="2219325" cy="174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753;&#27700;&#36335;&#27211;&#12398;&#35373;&#35336;_S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"/>
      <sheetName val="印刷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2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9"/>
  <sheetViews>
    <sheetView showGridLines="0" tabSelected="1" showOutlineSymbols="0" zoomScale="85" zoomScaleNormal="85" workbookViewId="0" topLeftCell="A1">
      <selection activeCell="K33" sqref="K33"/>
    </sheetView>
  </sheetViews>
  <sheetFormatPr defaultColWidth="9.00390625" defaultRowHeight="13.5"/>
  <cols>
    <col min="1" max="1" width="4.625" style="0" customWidth="1"/>
    <col min="2" max="2" width="28.75390625" style="0" bestFit="1" customWidth="1"/>
    <col min="3" max="4" width="8.625" style="0" customWidth="1"/>
    <col min="5" max="7" width="10.625" style="0" customWidth="1"/>
    <col min="8" max="9" width="8.625" style="0" customWidth="1"/>
    <col min="10" max="10" width="9.625" style="0" customWidth="1"/>
    <col min="11" max="16384" width="8.625" style="0" customWidth="1"/>
  </cols>
  <sheetData>
    <row r="1" spans="1:9" s="74" customFormat="1" ht="17.25">
      <c r="A1" s="73" t="s">
        <v>106</v>
      </c>
      <c r="B1" s="73"/>
      <c r="C1" s="73"/>
      <c r="D1" s="73"/>
      <c r="E1" s="73"/>
      <c r="F1" s="33"/>
      <c r="G1" s="73"/>
      <c r="H1" s="73"/>
      <c r="I1" s="73"/>
    </row>
    <row r="2" spans="1:16" ht="15.75" customHeight="1">
      <c r="A2" s="1"/>
      <c r="B2" s="1"/>
      <c r="C2" s="1"/>
      <c r="D2" s="71" t="s">
        <v>105</v>
      </c>
      <c r="E2" s="70"/>
      <c r="F2" s="13" t="s">
        <v>104</v>
      </c>
      <c r="G2" s="1"/>
      <c r="H2" s="1"/>
      <c r="I2" s="1"/>
      <c r="L2" s="1"/>
      <c r="M2" s="24" t="s">
        <v>118</v>
      </c>
      <c r="N2" s="24" t="s">
        <v>119</v>
      </c>
      <c r="O2" s="75" t="s">
        <v>118</v>
      </c>
      <c r="P2" s="75" t="s">
        <v>119</v>
      </c>
    </row>
    <row r="3" spans="1:16" ht="15.75" customHeight="1">
      <c r="A3" s="1" t="s">
        <v>52</v>
      </c>
      <c r="B3" s="1"/>
      <c r="C3" s="1"/>
      <c r="D3" s="1"/>
      <c r="E3" s="1"/>
      <c r="F3" s="13"/>
      <c r="G3" s="1"/>
      <c r="H3" s="1"/>
      <c r="I3" s="1"/>
      <c r="L3" s="1">
        <v>0</v>
      </c>
      <c r="M3" s="24">
        <v>0</v>
      </c>
      <c r="N3" s="24">
        <v>0</v>
      </c>
      <c r="O3" s="75">
        <v>0.05</v>
      </c>
      <c r="P3" s="75">
        <f>E7-E21/1000</f>
        <v>0.04999999999999999</v>
      </c>
    </row>
    <row r="4" spans="1:16" ht="15.75" customHeight="1">
      <c r="A4" s="1"/>
      <c r="B4" s="1" t="s">
        <v>53</v>
      </c>
      <c r="C4" s="1" t="s">
        <v>54</v>
      </c>
      <c r="D4" s="1"/>
      <c r="E4" s="76">
        <v>0.85</v>
      </c>
      <c r="F4" s="13"/>
      <c r="G4" s="1"/>
      <c r="H4" s="1"/>
      <c r="I4" s="1"/>
      <c r="L4" s="1">
        <v>1</v>
      </c>
      <c r="M4" s="24">
        <v>0</v>
      </c>
      <c r="N4" s="24">
        <f>'入力'!E5+'入力'!E7</f>
        <v>0.65</v>
      </c>
      <c r="O4" s="75">
        <f>(E4+E6*2)-0.05</f>
        <v>1.0999999999999999</v>
      </c>
      <c r="P4" s="75">
        <f>$P$3</f>
        <v>0.04999999999999999</v>
      </c>
    </row>
    <row r="5" spans="1:16" ht="15.75" customHeight="1">
      <c r="A5" s="1"/>
      <c r="B5" s="1" t="s">
        <v>55</v>
      </c>
      <c r="C5" s="1" t="s">
        <v>56</v>
      </c>
      <c r="D5" s="1"/>
      <c r="E5" s="76">
        <v>0.5</v>
      </c>
      <c r="F5" s="13"/>
      <c r="G5" s="1"/>
      <c r="H5" s="1"/>
      <c r="I5" s="1"/>
      <c r="L5" s="1">
        <v>2</v>
      </c>
      <c r="M5" s="24">
        <f>'入力'!E6</f>
        <v>0.15</v>
      </c>
      <c r="N5" s="24">
        <f>'入力'!E5+'入力'!E7</f>
        <v>0.65</v>
      </c>
      <c r="O5" s="75"/>
      <c r="P5" s="75"/>
    </row>
    <row r="6" spans="1:16" ht="15.75" customHeight="1">
      <c r="A6" s="1"/>
      <c r="B6" s="1" t="s">
        <v>57</v>
      </c>
      <c r="C6" s="1" t="s">
        <v>58</v>
      </c>
      <c r="D6" s="1"/>
      <c r="E6" s="76">
        <v>0.15</v>
      </c>
      <c r="F6" s="13"/>
      <c r="G6" s="1"/>
      <c r="H6" s="1"/>
      <c r="I6" s="1"/>
      <c r="L6" s="1">
        <v>3</v>
      </c>
      <c r="M6" s="24">
        <f>'入力'!E6</f>
        <v>0.15</v>
      </c>
      <c r="N6" s="24">
        <f>'入力'!E7</f>
        <v>0.15</v>
      </c>
      <c r="O6" s="75"/>
      <c r="P6" s="75"/>
    </row>
    <row r="7" spans="1:16" ht="15.75" customHeight="1">
      <c r="A7" s="1"/>
      <c r="B7" s="1" t="s">
        <v>59</v>
      </c>
      <c r="C7" s="1" t="s">
        <v>60</v>
      </c>
      <c r="D7" s="1"/>
      <c r="E7" s="76">
        <v>0.15</v>
      </c>
      <c r="F7" s="13"/>
      <c r="G7" s="1"/>
      <c r="H7" s="1"/>
      <c r="I7" s="1"/>
      <c r="L7" s="1">
        <v>4</v>
      </c>
      <c r="M7" s="24">
        <f>'入力'!E4+'入力'!E6</f>
        <v>1</v>
      </c>
      <c r="N7" s="24">
        <f>'入力'!E7</f>
        <v>0.15</v>
      </c>
      <c r="O7" s="75"/>
      <c r="P7" s="75"/>
    </row>
    <row r="8" spans="1:16" ht="15.75" customHeight="1">
      <c r="A8" s="1"/>
      <c r="B8" s="1"/>
      <c r="C8" s="1"/>
      <c r="D8" s="1"/>
      <c r="E8" s="72"/>
      <c r="F8" s="13"/>
      <c r="G8" s="1"/>
      <c r="H8" s="1"/>
      <c r="I8" s="1"/>
      <c r="L8" s="1">
        <v>5</v>
      </c>
      <c r="M8" s="24">
        <f>'入力'!E4+'入力'!E6</f>
        <v>1</v>
      </c>
      <c r="N8" s="24">
        <f>'入力'!E5+'入力'!E7</f>
        <v>0.65</v>
      </c>
      <c r="O8" s="75"/>
      <c r="P8" s="75"/>
    </row>
    <row r="9" spans="1:16" ht="15.75" customHeight="1">
      <c r="A9" s="1"/>
      <c r="B9" s="1" t="s">
        <v>61</v>
      </c>
      <c r="C9" s="1" t="s">
        <v>62</v>
      </c>
      <c r="D9" s="1"/>
      <c r="E9" s="76">
        <v>2.6</v>
      </c>
      <c r="F9" s="13"/>
      <c r="G9" s="1"/>
      <c r="H9" s="1"/>
      <c r="I9" s="1"/>
      <c r="L9" s="1">
        <v>6</v>
      </c>
      <c r="M9" s="24">
        <f>'入力'!E4+2*'入力'!E6</f>
        <v>1.15</v>
      </c>
      <c r="N9" s="24">
        <f>'入力'!E5+'入力'!E7</f>
        <v>0.65</v>
      </c>
      <c r="O9" s="75"/>
      <c r="P9" s="75"/>
    </row>
    <row r="10" spans="1:16" ht="15.75" customHeight="1">
      <c r="A10" s="1"/>
      <c r="B10" s="1"/>
      <c r="C10" s="1"/>
      <c r="D10" s="1"/>
      <c r="E10" s="72"/>
      <c r="F10" s="13"/>
      <c r="G10" s="1"/>
      <c r="H10" s="1"/>
      <c r="I10" s="1"/>
      <c r="L10" s="1">
        <v>7</v>
      </c>
      <c r="M10" s="24">
        <f>'入力'!E4+2*'入力'!E6</f>
        <v>1.15</v>
      </c>
      <c r="N10" s="24">
        <v>0</v>
      </c>
      <c r="O10" s="75"/>
      <c r="P10" s="75"/>
    </row>
    <row r="11" spans="1:16" ht="15.75" customHeight="1">
      <c r="A11" s="1"/>
      <c r="B11" s="1" t="s">
        <v>64</v>
      </c>
      <c r="C11" s="1" t="s">
        <v>63</v>
      </c>
      <c r="D11" s="1"/>
      <c r="E11" s="69">
        <v>24.5</v>
      </c>
      <c r="F11" s="13"/>
      <c r="G11" s="1"/>
      <c r="H11" s="1"/>
      <c r="I11" s="1"/>
      <c r="L11" s="1">
        <v>8</v>
      </c>
      <c r="M11" s="24">
        <v>0</v>
      </c>
      <c r="N11" s="24">
        <v>0</v>
      </c>
      <c r="O11" s="75"/>
      <c r="P11" s="75"/>
    </row>
    <row r="12" spans="1:9" ht="15.75" customHeight="1">
      <c r="A12" s="1"/>
      <c r="B12" s="1" t="s">
        <v>65</v>
      </c>
      <c r="C12" s="1" t="s">
        <v>66</v>
      </c>
      <c r="D12" s="1"/>
      <c r="E12" s="69">
        <v>9.8</v>
      </c>
      <c r="F12" s="13"/>
      <c r="G12" s="1"/>
      <c r="H12" s="1"/>
      <c r="I12" s="1"/>
    </row>
    <row r="13" spans="1:9" ht="15.75" customHeight="1">
      <c r="A13" s="1"/>
      <c r="B13" s="1"/>
      <c r="C13" s="1"/>
      <c r="D13" s="1"/>
      <c r="E13" s="72"/>
      <c r="F13" s="13"/>
      <c r="G13" s="1"/>
      <c r="H13" s="1"/>
      <c r="I13" s="1"/>
    </row>
    <row r="14" spans="1:9" ht="15.75" customHeight="1">
      <c r="A14" s="1"/>
      <c r="B14" s="1" t="s">
        <v>68</v>
      </c>
      <c r="C14" s="1" t="s">
        <v>67</v>
      </c>
      <c r="D14" s="1"/>
      <c r="E14" s="69">
        <f>0.59*3</f>
        <v>1.77</v>
      </c>
      <c r="F14" s="13"/>
      <c r="G14" s="1"/>
      <c r="H14" s="1"/>
      <c r="I14" s="1"/>
    </row>
    <row r="15" spans="1:9" ht="15.75" customHeight="1">
      <c r="A15" s="1"/>
      <c r="B15" s="1"/>
      <c r="C15" s="1" t="s">
        <v>69</v>
      </c>
      <c r="D15" s="1"/>
      <c r="E15" s="69" t="s">
        <v>70</v>
      </c>
      <c r="F15" s="13"/>
      <c r="G15" s="1"/>
      <c r="H15" s="1"/>
      <c r="I15" s="1"/>
    </row>
    <row r="16" spans="1:9" ht="15.75" customHeight="1">
      <c r="A16" s="1"/>
      <c r="B16" s="1"/>
      <c r="C16" s="1"/>
      <c r="D16" s="1"/>
      <c r="E16" s="1"/>
      <c r="F16" s="13"/>
      <c r="G16" s="1"/>
      <c r="H16" s="1"/>
      <c r="I16" s="1"/>
    </row>
    <row r="17" spans="1:9" ht="15.75" customHeight="1">
      <c r="A17" s="1"/>
      <c r="B17" s="1" t="s">
        <v>90</v>
      </c>
      <c r="C17" s="1"/>
      <c r="D17" s="1"/>
      <c r="E17" s="1"/>
      <c r="F17" s="13"/>
      <c r="G17" s="1"/>
      <c r="H17" s="1"/>
      <c r="I17" s="1"/>
    </row>
    <row r="18" spans="1:9" ht="15.75" customHeight="1">
      <c r="A18" s="1"/>
      <c r="B18" s="13" t="s">
        <v>46</v>
      </c>
      <c r="C18" s="1"/>
      <c r="D18" s="1"/>
      <c r="E18" s="49">
        <f>(E4+E6*2)*1000</f>
        <v>1150</v>
      </c>
      <c r="F18" s="1"/>
      <c r="G18" s="1"/>
      <c r="H18" s="1"/>
      <c r="I18" s="1"/>
    </row>
    <row r="19" spans="1:9" ht="15.75" customHeight="1">
      <c r="A19" s="1"/>
      <c r="B19" s="28" t="s">
        <v>1</v>
      </c>
      <c r="C19" s="28"/>
      <c r="D19" s="1"/>
      <c r="E19" s="27">
        <f>VLOOKUP('入力'!E69,'入力'!A$69:D$81,2,FALSE)</f>
        <v>16</v>
      </c>
      <c r="F19" s="25"/>
      <c r="G19" s="1"/>
      <c r="H19" s="1"/>
      <c r="I19" s="1"/>
    </row>
    <row r="20" spans="1:9" ht="15.75" customHeight="1">
      <c r="A20" s="1"/>
      <c r="B20" s="28" t="s">
        <v>20</v>
      </c>
      <c r="C20" s="28"/>
      <c r="D20" s="1"/>
      <c r="E20" s="67">
        <v>6</v>
      </c>
      <c r="F20" s="25"/>
      <c r="G20" s="1"/>
      <c r="H20" s="1"/>
      <c r="I20" s="1"/>
    </row>
    <row r="21" spans="1:9" ht="15.75" customHeight="1">
      <c r="A21" s="1"/>
      <c r="B21" s="28" t="s">
        <v>47</v>
      </c>
      <c r="C21" s="28"/>
      <c r="D21" s="1"/>
      <c r="E21" s="68">
        <v>100</v>
      </c>
      <c r="F21" s="1"/>
      <c r="G21" s="1"/>
      <c r="H21" s="1"/>
      <c r="I21" s="1"/>
    </row>
    <row r="22" spans="1:9" ht="15.75" customHeight="1">
      <c r="A22" s="1"/>
      <c r="B22" s="29" t="s">
        <v>2</v>
      </c>
      <c r="C22" s="29"/>
      <c r="D22" s="1"/>
      <c r="E22" s="27">
        <f>VLOOKUP('入力'!F69,'入力'!A$69:D$81,2,FALSE)</f>
        <v>16</v>
      </c>
      <c r="F22" s="25"/>
      <c r="G22" s="1"/>
      <c r="H22" s="1"/>
      <c r="I22" s="1"/>
    </row>
    <row r="23" spans="1:9" ht="15.75" customHeight="1">
      <c r="A23" s="1"/>
      <c r="B23" s="29" t="s">
        <v>20</v>
      </c>
      <c r="C23" s="29"/>
      <c r="D23" s="1"/>
      <c r="E23" s="67">
        <v>0</v>
      </c>
      <c r="F23" s="25"/>
      <c r="G23" s="1"/>
      <c r="H23" s="1"/>
      <c r="I23" s="1"/>
    </row>
    <row r="24" spans="1:9" ht="15.75" customHeight="1">
      <c r="A24" s="1"/>
      <c r="B24" s="29" t="s">
        <v>48</v>
      </c>
      <c r="C24" s="29"/>
      <c r="D24" s="1"/>
      <c r="E24" s="68">
        <v>0</v>
      </c>
      <c r="F24" s="26"/>
      <c r="G24" s="1"/>
      <c r="H24" s="1"/>
      <c r="I24" s="1"/>
    </row>
    <row r="25" spans="1:9" ht="15.75" customHeight="1">
      <c r="A25" s="1"/>
      <c r="B25" s="29" t="s">
        <v>38</v>
      </c>
      <c r="C25" s="29"/>
      <c r="D25" s="1"/>
      <c r="E25" s="43">
        <f>VLOOKUP('入力'!$C$92,'入力'!A$93:E$98,2,FALSE)</f>
        <v>21</v>
      </c>
      <c r="F25" s="26"/>
      <c r="G25" s="1"/>
      <c r="H25" s="1"/>
      <c r="I25" s="1"/>
    </row>
    <row r="26" spans="1:9" ht="15.75" customHeight="1">
      <c r="A26" s="1"/>
      <c r="B26" s="29" t="s">
        <v>39</v>
      </c>
      <c r="C26" s="29"/>
      <c r="D26" s="1"/>
      <c r="E26" s="43">
        <f>VLOOKUP('入力'!C83,'入力'!A$84:B$89,2,FALSE)</f>
        <v>180</v>
      </c>
      <c r="F26" s="26"/>
      <c r="G26" s="1"/>
      <c r="H26" s="1"/>
      <c r="I26" s="1"/>
    </row>
    <row r="27" spans="1:9" ht="15.75" customHeight="1">
      <c r="A27" s="1"/>
      <c r="B27" s="29" t="s">
        <v>40</v>
      </c>
      <c r="C27" s="29"/>
      <c r="D27" s="1"/>
      <c r="E27" s="43">
        <f>VLOOKUP('入力'!$C$92,'入力'!A$93:E$98,3,FALSE)</f>
        <v>7</v>
      </c>
      <c r="F27" s="26"/>
      <c r="G27" s="1"/>
      <c r="H27" s="1"/>
      <c r="I27" s="1"/>
    </row>
    <row r="28" spans="1:9" ht="15.75" customHeight="1">
      <c r="A28" s="1"/>
      <c r="B28" s="29" t="s">
        <v>36</v>
      </c>
      <c r="C28" s="29"/>
      <c r="D28" s="1"/>
      <c r="E28" s="42">
        <f>VLOOKUP('入力'!$C$92,'入力'!A$93:E$98,4,FALSE)</f>
        <v>0.36</v>
      </c>
      <c r="F28" s="6"/>
      <c r="G28" s="1"/>
      <c r="H28" s="1"/>
      <c r="I28" s="1"/>
    </row>
    <row r="29" spans="1:9" ht="15.75" customHeight="1">
      <c r="A29" s="1"/>
      <c r="B29" s="29" t="s">
        <v>37</v>
      </c>
      <c r="C29" s="29"/>
      <c r="D29" s="1"/>
      <c r="E29" s="42">
        <f>VLOOKUP('入力'!$C$92,'入力'!A$93:E$98,5,FALSE)</f>
        <v>1.6</v>
      </c>
      <c r="F29" s="21"/>
      <c r="G29" s="1"/>
      <c r="H29" s="1"/>
      <c r="I29" s="1"/>
    </row>
    <row r="30" spans="1:9" ht="15.75" customHeight="1">
      <c r="A30" s="1"/>
      <c r="B30" s="1"/>
      <c r="C30" s="1"/>
      <c r="D30" s="1"/>
      <c r="E30" s="1"/>
      <c r="F30" s="13"/>
      <c r="G30" s="1"/>
      <c r="H30" s="1"/>
      <c r="I30" s="1"/>
    </row>
    <row r="31" spans="1:9" ht="15.75" customHeight="1">
      <c r="A31" s="1"/>
      <c r="B31" s="30" t="s">
        <v>3</v>
      </c>
      <c r="C31" s="30"/>
      <c r="D31" s="1"/>
      <c r="E31" s="6"/>
      <c r="F31" s="21"/>
      <c r="G31" s="1"/>
      <c r="H31" s="1"/>
      <c r="I31" s="1"/>
    </row>
    <row r="32" spans="1:9" ht="15.75" customHeight="1">
      <c r="A32" s="1"/>
      <c r="B32" s="30" t="s">
        <v>41</v>
      </c>
      <c r="C32" s="30"/>
      <c r="D32" s="1"/>
      <c r="E32" s="50">
        <f>'印刷'!F43</f>
        <v>11.346</v>
      </c>
      <c r="F32" s="6"/>
      <c r="G32" s="1"/>
      <c r="H32" s="1"/>
      <c r="I32" s="2"/>
    </row>
    <row r="33" spans="1:9" ht="15.75" customHeight="1">
      <c r="A33" s="1"/>
      <c r="B33" s="30" t="s">
        <v>34</v>
      </c>
      <c r="C33" s="30"/>
      <c r="D33" s="1"/>
      <c r="E33" s="50">
        <f>'印刷'!F47</f>
        <v>17.456</v>
      </c>
      <c r="F33" s="7"/>
      <c r="G33" s="1"/>
      <c r="H33" s="1"/>
      <c r="I33" s="2"/>
    </row>
    <row r="34" spans="1:9" ht="15.75" customHeight="1">
      <c r="A34" s="1"/>
      <c r="B34" s="1"/>
      <c r="C34" s="1"/>
      <c r="D34" s="1"/>
      <c r="E34" s="6"/>
      <c r="F34" s="21"/>
      <c r="G34" s="1"/>
      <c r="H34" s="1"/>
      <c r="I34" s="2"/>
    </row>
    <row r="35" spans="1:9" ht="15.75" customHeight="1" thickBot="1">
      <c r="A35" s="1"/>
      <c r="B35" s="31" t="s">
        <v>4</v>
      </c>
      <c r="C35" s="1"/>
      <c r="D35" s="1"/>
      <c r="E35" s="2"/>
      <c r="F35" s="21"/>
      <c r="G35" s="1"/>
      <c r="H35" s="1"/>
      <c r="I35" s="2"/>
    </row>
    <row r="36" spans="1:9" ht="15.75" customHeight="1" thickBot="1">
      <c r="A36" s="1"/>
      <c r="B36" s="1" t="s">
        <v>42</v>
      </c>
      <c r="C36" s="1"/>
      <c r="D36" s="1"/>
      <c r="E36" s="40">
        <f>'印刷'!B131</f>
        <v>5.421</v>
      </c>
      <c r="F36" s="21" t="str">
        <f>'印刷'!H103</f>
        <v>OK</v>
      </c>
      <c r="G36" s="1" t="s">
        <v>8</v>
      </c>
      <c r="H36" s="1"/>
      <c r="I36" s="2"/>
    </row>
    <row r="37" spans="1:9" ht="15.75" customHeight="1" thickBot="1">
      <c r="A37" s="1"/>
      <c r="B37" s="1" t="s">
        <v>43</v>
      </c>
      <c r="C37" s="1"/>
      <c r="D37" s="1"/>
      <c r="E37" s="40">
        <f>'印刷'!B132</f>
        <v>110.919</v>
      </c>
      <c r="F37" s="13" t="str">
        <f>'印刷'!H107</f>
        <v>OK</v>
      </c>
      <c r="G37" s="23">
        <f>VLOOKUP(E19,'入力'!$B$69:$D$81,2)*E20</f>
        <v>1191.6</v>
      </c>
      <c r="H37" s="6"/>
      <c r="I37" s="2"/>
    </row>
    <row r="38" spans="1:9" ht="15.75" customHeight="1" thickBot="1">
      <c r="A38" s="1"/>
      <c r="B38" s="1">
        <f>IF(E23=0,"","σs'(N/m㎡)")</f>
      </c>
      <c r="C38" s="1"/>
      <c r="D38" s="1"/>
      <c r="E38" s="40">
        <f>IF(E23=0,"",+'印刷'!B133)</f>
      </c>
      <c r="F38" s="13">
        <f>'印刷'!H111</f>
      </c>
      <c r="G38" s="1"/>
      <c r="H38" s="1"/>
      <c r="I38" s="2"/>
    </row>
    <row r="39" spans="1:9" ht="15.75" customHeight="1" thickBot="1">
      <c r="A39" s="1"/>
      <c r="B39" s="1" t="s">
        <v>44</v>
      </c>
      <c r="C39" s="1"/>
      <c r="D39" s="1"/>
      <c r="E39" s="40">
        <f>'印刷'!B134</f>
        <v>0.152</v>
      </c>
      <c r="F39" s="13" t="str">
        <f>'印刷'!H115</f>
        <v>OK</v>
      </c>
      <c r="G39" s="22" t="s">
        <v>9</v>
      </c>
      <c r="H39" s="1"/>
      <c r="I39" s="2"/>
    </row>
    <row r="40" spans="1:9" ht="15.75" customHeight="1" thickBot="1">
      <c r="A40" s="1"/>
      <c r="B40" s="1" t="s">
        <v>45</v>
      </c>
      <c r="C40" s="1"/>
      <c r="D40" s="1"/>
      <c r="E40" s="40">
        <f>'印刷'!B135</f>
        <v>0.669</v>
      </c>
      <c r="F40" s="13" t="str">
        <f>'印刷'!H119</f>
        <v>OK</v>
      </c>
      <c r="G40" s="23">
        <f>IF(E23=0,0,VLOOKUP(E22,'入力'!$B$69:$D$81,2)*E23)</f>
        <v>0</v>
      </c>
      <c r="H40" s="6"/>
      <c r="I40" s="2"/>
    </row>
    <row r="41" spans="1:9" ht="13.5">
      <c r="A41" s="1"/>
      <c r="B41" s="1"/>
      <c r="C41" s="1"/>
      <c r="D41" s="1"/>
      <c r="E41" s="1"/>
      <c r="F41" s="13"/>
      <c r="G41" s="22" t="s">
        <v>10</v>
      </c>
      <c r="H41" s="1"/>
      <c r="I41" s="2"/>
    </row>
    <row r="42" spans="1:9" ht="13.5">
      <c r="A42" s="1"/>
      <c r="B42" s="1"/>
      <c r="C42" s="1"/>
      <c r="D42" s="1"/>
      <c r="E42" s="1"/>
      <c r="F42" s="13"/>
      <c r="G42" s="22" t="s">
        <v>10</v>
      </c>
      <c r="H42" s="1"/>
      <c r="I42" s="2"/>
    </row>
    <row r="43" spans="1:9" ht="13.5">
      <c r="A43" s="1"/>
      <c r="B43" s="1"/>
      <c r="C43" s="1"/>
      <c r="D43" s="1"/>
      <c r="E43" s="1"/>
      <c r="F43" s="13"/>
      <c r="G43" s="1"/>
      <c r="H43" s="1"/>
      <c r="I43" s="2"/>
    </row>
    <row r="44" spans="1:9" ht="13.5">
      <c r="A44" s="1"/>
      <c r="B44" s="1"/>
      <c r="C44" s="1"/>
      <c r="D44" s="1"/>
      <c r="E44" s="1"/>
      <c r="F44" s="13"/>
      <c r="G44" s="6"/>
      <c r="H44" s="1"/>
      <c r="I44" s="2"/>
    </row>
    <row r="66" spans="1:7" ht="13.5">
      <c r="A66" s="1"/>
      <c r="B66" s="5" t="s">
        <v>5</v>
      </c>
      <c r="C66" s="5">
        <v>15</v>
      </c>
      <c r="D66" s="3"/>
      <c r="E66" s="1"/>
      <c r="F66" s="13"/>
      <c r="G66" s="1"/>
    </row>
    <row r="67" spans="1:7" ht="13.5">
      <c r="A67" s="1"/>
      <c r="B67" s="4"/>
      <c r="C67" s="4"/>
      <c r="D67" s="1"/>
      <c r="E67" s="1"/>
      <c r="F67" s="13"/>
      <c r="G67" s="1"/>
    </row>
    <row r="68" spans="1:7" ht="13.5">
      <c r="A68" s="1"/>
      <c r="B68" s="32" t="s">
        <v>6</v>
      </c>
      <c r="C68" s="32" t="s">
        <v>7</v>
      </c>
      <c r="D68" s="8" t="s">
        <v>23</v>
      </c>
      <c r="E68" s="1" t="s">
        <v>32</v>
      </c>
      <c r="F68" s="1" t="s">
        <v>33</v>
      </c>
      <c r="G68" s="1"/>
    </row>
    <row r="69" spans="1:7" ht="13.5">
      <c r="A69" s="1">
        <v>1</v>
      </c>
      <c r="B69" s="8">
        <v>6</v>
      </c>
      <c r="C69" s="39">
        <v>31.67</v>
      </c>
      <c r="D69" s="8">
        <v>20</v>
      </c>
      <c r="E69" s="41">
        <v>4</v>
      </c>
      <c r="F69" s="41">
        <v>4</v>
      </c>
      <c r="G69" s="1"/>
    </row>
    <row r="70" spans="1:7" ht="13.5">
      <c r="A70" s="1">
        <v>2</v>
      </c>
      <c r="B70" s="8">
        <v>10</v>
      </c>
      <c r="C70" s="39">
        <v>71.33</v>
      </c>
      <c r="D70" s="8">
        <v>30</v>
      </c>
      <c r="E70" s="1"/>
      <c r="F70" s="13"/>
      <c r="G70" s="1"/>
    </row>
    <row r="71" spans="1:7" ht="13.5">
      <c r="A71" s="1">
        <v>3</v>
      </c>
      <c r="B71" s="8">
        <v>13</v>
      </c>
      <c r="C71" s="39">
        <v>126.7</v>
      </c>
      <c r="D71" s="8">
        <v>40</v>
      </c>
      <c r="E71" s="1"/>
      <c r="F71" s="13"/>
      <c r="G71" s="1"/>
    </row>
    <row r="72" spans="1:7" ht="13.5">
      <c r="A72" s="1">
        <v>4</v>
      </c>
      <c r="B72" s="8">
        <v>16</v>
      </c>
      <c r="C72" s="39">
        <v>198.6</v>
      </c>
      <c r="D72" s="8">
        <v>50</v>
      </c>
      <c r="E72" s="1"/>
      <c r="F72" s="13"/>
      <c r="G72" s="1"/>
    </row>
    <row r="73" spans="1:7" ht="13.5">
      <c r="A73" s="1">
        <v>5</v>
      </c>
      <c r="B73" s="8">
        <v>19</v>
      </c>
      <c r="C73" s="39">
        <v>286.5</v>
      </c>
      <c r="D73" s="8">
        <v>60</v>
      </c>
      <c r="E73" s="1"/>
      <c r="F73" s="13"/>
      <c r="G73" s="1"/>
    </row>
    <row r="74" spans="1:7" ht="13.5">
      <c r="A74" s="1">
        <v>6</v>
      </c>
      <c r="B74" s="8">
        <v>22</v>
      </c>
      <c r="C74" s="39">
        <v>387.1</v>
      </c>
      <c r="D74" s="8">
        <v>70</v>
      </c>
      <c r="E74" s="1"/>
      <c r="F74" s="13"/>
      <c r="G74" s="1"/>
    </row>
    <row r="75" spans="1:7" ht="13.5">
      <c r="A75" s="1">
        <v>7</v>
      </c>
      <c r="B75" s="8">
        <v>25</v>
      </c>
      <c r="C75" s="39">
        <v>506.7</v>
      </c>
      <c r="D75" s="8">
        <v>80</v>
      </c>
      <c r="E75" s="1"/>
      <c r="F75" s="13"/>
      <c r="G75" s="1"/>
    </row>
    <row r="76" spans="1:7" ht="13.5">
      <c r="A76" s="1">
        <v>8</v>
      </c>
      <c r="B76" s="8">
        <v>29</v>
      </c>
      <c r="C76" s="39">
        <v>642.4</v>
      </c>
      <c r="D76" s="8">
        <v>90</v>
      </c>
      <c r="E76" s="1"/>
      <c r="F76" s="13"/>
      <c r="G76" s="1"/>
    </row>
    <row r="77" spans="1:7" ht="13.5">
      <c r="A77" s="1">
        <v>9</v>
      </c>
      <c r="B77" s="8">
        <v>32</v>
      </c>
      <c r="C77" s="39">
        <v>794.2</v>
      </c>
      <c r="D77" s="8">
        <v>100</v>
      </c>
      <c r="E77" s="1"/>
      <c r="F77" s="13"/>
      <c r="G77" s="1"/>
    </row>
    <row r="78" spans="1:7" ht="13.5">
      <c r="A78" s="1">
        <v>10</v>
      </c>
      <c r="B78" s="8">
        <v>35</v>
      </c>
      <c r="C78" s="39">
        <v>956.6</v>
      </c>
      <c r="D78" s="8">
        <v>110</v>
      </c>
      <c r="E78" s="1"/>
      <c r="F78" s="13"/>
      <c r="G78" s="1"/>
    </row>
    <row r="79" spans="1:7" ht="13.5">
      <c r="A79" s="1">
        <v>11</v>
      </c>
      <c r="B79" s="8">
        <v>38</v>
      </c>
      <c r="C79" s="39">
        <v>1140</v>
      </c>
      <c r="D79" s="8">
        <v>120</v>
      </c>
      <c r="E79" s="1"/>
      <c r="F79" s="13"/>
      <c r="G79" s="1"/>
    </row>
    <row r="80" spans="1:7" ht="13.5">
      <c r="A80" s="1">
        <v>12</v>
      </c>
      <c r="B80" s="8">
        <v>41</v>
      </c>
      <c r="C80" s="39">
        <v>1340</v>
      </c>
      <c r="D80" s="8">
        <v>130</v>
      </c>
      <c r="E80" s="1"/>
      <c r="F80" s="13"/>
      <c r="G80" s="1"/>
    </row>
    <row r="81" spans="1:7" ht="13.5">
      <c r="A81" s="1">
        <v>13</v>
      </c>
      <c r="B81" s="8">
        <v>51</v>
      </c>
      <c r="C81" s="39">
        <v>2027</v>
      </c>
      <c r="D81" s="8">
        <v>160</v>
      </c>
      <c r="E81" s="1"/>
      <c r="F81" s="13"/>
      <c r="G81" s="1"/>
    </row>
    <row r="82" spans="1:7" ht="13.5">
      <c r="A82" s="1"/>
      <c r="B82" s="1"/>
      <c r="C82" s="1"/>
      <c r="D82" s="1"/>
      <c r="E82" s="1"/>
      <c r="F82" s="13"/>
      <c r="G82" s="1"/>
    </row>
    <row r="83" spans="1:7" ht="13.5">
      <c r="A83" s="1"/>
      <c r="B83" s="1" t="s">
        <v>30</v>
      </c>
      <c r="C83" s="41">
        <v>3</v>
      </c>
      <c r="D83" s="1"/>
      <c r="E83" s="1"/>
      <c r="F83" s="13"/>
      <c r="G83" s="1"/>
    </row>
    <row r="84" spans="1:7" ht="13.5">
      <c r="A84" s="1">
        <v>1</v>
      </c>
      <c r="B84" s="24">
        <v>140</v>
      </c>
      <c r="C84" s="1"/>
      <c r="D84" s="1"/>
      <c r="E84" s="1"/>
      <c r="F84" s="13"/>
      <c r="G84" s="1"/>
    </row>
    <row r="85" spans="1:7" ht="13.5">
      <c r="A85" s="1">
        <v>2</v>
      </c>
      <c r="B85" s="24">
        <v>160</v>
      </c>
      <c r="C85" s="1"/>
      <c r="D85" s="1"/>
      <c r="E85" s="1"/>
      <c r="F85" s="13"/>
      <c r="G85" s="1"/>
    </row>
    <row r="86" spans="1:7" ht="13.5">
      <c r="A86" s="1">
        <v>3</v>
      </c>
      <c r="B86" s="24">
        <v>180</v>
      </c>
      <c r="C86" s="1"/>
      <c r="D86" s="1"/>
      <c r="E86" s="1"/>
      <c r="F86" s="13"/>
      <c r="G86" s="1"/>
    </row>
    <row r="87" spans="1:7" ht="13.5">
      <c r="A87" s="1">
        <v>4</v>
      </c>
      <c r="B87" s="24">
        <v>200</v>
      </c>
      <c r="C87" s="1"/>
      <c r="D87" s="1"/>
      <c r="E87" s="1"/>
      <c r="F87" s="13"/>
      <c r="G87" s="1"/>
    </row>
    <row r="88" spans="1:7" ht="13.5">
      <c r="A88" s="1">
        <v>5</v>
      </c>
      <c r="B88" s="24"/>
      <c r="C88" s="1"/>
      <c r="D88" s="1"/>
      <c r="E88" s="1"/>
      <c r="F88" s="13"/>
      <c r="G88" s="1"/>
    </row>
    <row r="89" spans="1:7" ht="13.5">
      <c r="A89" s="1">
        <v>6</v>
      </c>
      <c r="B89" s="24"/>
      <c r="C89" s="1"/>
      <c r="D89" s="1"/>
      <c r="E89" s="1"/>
      <c r="F89" s="13"/>
      <c r="G89" s="1"/>
    </row>
    <row r="90" spans="1:7" ht="13.5">
      <c r="A90" s="1"/>
      <c r="B90" s="1"/>
      <c r="C90" s="1"/>
      <c r="D90" s="1"/>
      <c r="E90" s="1"/>
      <c r="F90" s="13"/>
      <c r="G90" s="1"/>
    </row>
    <row r="91" spans="1:7" ht="13.5">
      <c r="A91" s="1"/>
      <c r="B91" s="1"/>
      <c r="C91" s="1"/>
      <c r="D91" s="1"/>
      <c r="E91" s="1"/>
      <c r="F91" s="13"/>
      <c r="G91" s="1"/>
    </row>
    <row r="92" spans="1:7" ht="13.5">
      <c r="A92" s="1"/>
      <c r="B92" s="1" t="s">
        <v>31</v>
      </c>
      <c r="C92" s="41">
        <v>1</v>
      </c>
      <c r="D92" s="1"/>
      <c r="E92" s="1"/>
      <c r="F92" s="13"/>
      <c r="G92" s="1"/>
    </row>
    <row r="93" spans="1:7" ht="13.5">
      <c r="A93" s="1">
        <v>1</v>
      </c>
      <c r="B93" s="35">
        <v>21</v>
      </c>
      <c r="C93" s="34">
        <v>7</v>
      </c>
      <c r="D93" s="36">
        <v>0.36</v>
      </c>
      <c r="E93" s="24">
        <v>1.6</v>
      </c>
      <c r="F93" s="13"/>
      <c r="G93" s="1"/>
    </row>
    <row r="94" spans="1:7" ht="13.5">
      <c r="A94" s="1">
        <v>2</v>
      </c>
      <c r="B94" s="35">
        <v>24</v>
      </c>
      <c r="C94" s="34">
        <v>8</v>
      </c>
      <c r="D94" s="36">
        <v>0.39</v>
      </c>
      <c r="E94" s="24">
        <v>1.7</v>
      </c>
      <c r="F94" s="13"/>
      <c r="G94" s="1"/>
    </row>
    <row r="95" spans="1:7" ht="13.5">
      <c r="A95" s="1">
        <v>3</v>
      </c>
      <c r="B95" s="35">
        <v>27</v>
      </c>
      <c r="C95" s="34">
        <v>9</v>
      </c>
      <c r="D95" s="36">
        <v>0.42</v>
      </c>
      <c r="E95" s="24">
        <v>1.8</v>
      </c>
      <c r="F95" s="13"/>
      <c r="G95" s="1"/>
    </row>
    <row r="96" spans="1:7" ht="13.5">
      <c r="A96" s="1">
        <v>4</v>
      </c>
      <c r="B96" s="35">
        <v>30</v>
      </c>
      <c r="C96" s="34">
        <v>10</v>
      </c>
      <c r="D96" s="37">
        <v>0.45</v>
      </c>
      <c r="E96" s="24">
        <v>1.9</v>
      </c>
      <c r="F96" s="13"/>
      <c r="G96" s="1"/>
    </row>
    <row r="97" spans="1:7" ht="13.5">
      <c r="A97" s="1">
        <v>5</v>
      </c>
      <c r="B97" s="35">
        <v>35</v>
      </c>
      <c r="C97" s="34">
        <v>12</v>
      </c>
      <c r="D97" s="37">
        <v>0.5</v>
      </c>
      <c r="E97" s="24">
        <v>2.1</v>
      </c>
      <c r="F97" s="13"/>
      <c r="G97" s="1"/>
    </row>
    <row r="98" spans="1:7" ht="13.5">
      <c r="A98" s="1">
        <v>6</v>
      </c>
      <c r="B98" s="35">
        <v>40</v>
      </c>
      <c r="C98" s="34">
        <v>14</v>
      </c>
      <c r="D98" s="37">
        <v>0.55</v>
      </c>
      <c r="E98" s="24">
        <v>2.4</v>
      </c>
      <c r="F98" s="13"/>
      <c r="G98" s="1"/>
    </row>
    <row r="99" spans="1:7" ht="13.5">
      <c r="A99" s="1"/>
      <c r="B99" s="1"/>
      <c r="C99" s="1"/>
      <c r="D99" s="1"/>
      <c r="E99" s="1"/>
      <c r="F99" s="13"/>
      <c r="G99" s="1"/>
    </row>
  </sheetData>
  <sheetProtection sheet="1" objects="1" scenarios="1"/>
  <conditionalFormatting sqref="E36">
    <cfRule type="cellIs" priority="1" dxfId="0" operator="greaterThan" stopIfTrue="1">
      <formula>$E$27</formula>
    </cfRule>
  </conditionalFormatting>
  <conditionalFormatting sqref="E37">
    <cfRule type="cellIs" priority="2" dxfId="0" operator="greaterThan" stopIfTrue="1">
      <formula>$E$26</formula>
    </cfRule>
  </conditionalFormatting>
  <conditionalFormatting sqref="E21">
    <cfRule type="cellIs" priority="3" dxfId="1" operator="greaterThan" stopIfTrue="1">
      <formula>$E$7*1000</formula>
    </cfRule>
  </conditionalFormatting>
  <printOptions horizontalCentered="1"/>
  <pageMargins left="0.7874015748031497" right="0.5118110236220472" top="0.5118110236220472" bottom="0.5118110236220472" header="0" footer="0"/>
  <pageSetup fitToHeight="1" fitToWidth="1" horizontalDpi="300" verticalDpi="300" orientation="portrait" paperSize="9" scale="82" r:id="rId7"/>
  <drawing r:id="rId6"/>
  <legacyDrawing r:id="rId5"/>
  <oleObjects>
    <oleObject progId="AutoCAD.Drawing.15" shapeId="792654" r:id="rId2"/>
    <oleObject progId="AutoCAD.Drawing.15" shapeId="792655" r:id="rId3"/>
    <oleObject progId="AutoCAD.Drawing.15" shapeId="792656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J135"/>
  <sheetViews>
    <sheetView showGridLines="0" showOutlineSymbols="0" workbookViewId="0" topLeftCell="A70">
      <selection activeCell="H37" sqref="H37"/>
    </sheetView>
  </sheetViews>
  <sheetFormatPr defaultColWidth="8.625" defaultRowHeight="13.5"/>
  <cols>
    <col min="1" max="1" width="8.25390625" style="1" customWidth="1"/>
    <col min="2" max="2" width="8.625" style="1" customWidth="1"/>
    <col min="3" max="3" width="23.875" style="1" customWidth="1"/>
    <col min="4" max="4" width="10.625" style="1" customWidth="1"/>
    <col min="5" max="5" width="14.625" style="1" customWidth="1"/>
    <col min="6" max="9" width="10.625" style="1" customWidth="1"/>
    <col min="10" max="16384" width="8.625" style="1" customWidth="1"/>
  </cols>
  <sheetData>
    <row r="1" ht="14.25" thickBot="1">
      <c r="B1" s="1" t="s">
        <v>71</v>
      </c>
    </row>
    <row r="2" spans="2:9" ht="13.5">
      <c r="B2" s="54" t="str">
        <f>'入力'!A1</f>
        <v>水路橋の設計（スラブ形式）Ver1.01</v>
      </c>
      <c r="C2" s="55"/>
      <c r="D2" s="55"/>
      <c r="E2" s="55"/>
      <c r="F2" s="55"/>
      <c r="G2" s="55"/>
      <c r="H2" s="55"/>
      <c r="I2" s="56"/>
    </row>
    <row r="3" spans="2:9" ht="13.5">
      <c r="B3" s="57" t="str">
        <f>'入力'!A3</f>
        <v>設計条件</v>
      </c>
      <c r="C3" s="13"/>
      <c r="D3" s="13"/>
      <c r="E3" s="13"/>
      <c r="F3" s="13"/>
      <c r="G3" s="13"/>
      <c r="H3" s="13"/>
      <c r="I3" s="58"/>
    </row>
    <row r="4" spans="2:9" ht="13.5">
      <c r="B4" s="57"/>
      <c r="C4" s="13" t="str">
        <f>'入力'!B4</f>
        <v>水路幅</v>
      </c>
      <c r="D4" s="13" t="str">
        <f>'入力'!C4</f>
        <v>B（ｍ）</v>
      </c>
      <c r="E4" s="13"/>
      <c r="F4" s="52">
        <f>'入力'!E4</f>
        <v>0.85</v>
      </c>
      <c r="G4" s="13"/>
      <c r="H4" s="13"/>
      <c r="I4" s="58"/>
    </row>
    <row r="5" spans="2:9" ht="13.5">
      <c r="B5" s="57"/>
      <c r="C5" s="13" t="str">
        <f>'入力'!B5</f>
        <v>水路深</v>
      </c>
      <c r="D5" s="13" t="str">
        <f>'入力'!C5</f>
        <v>H（ｍ）</v>
      </c>
      <c r="E5" s="13"/>
      <c r="F5" s="52">
        <f>'入力'!E5</f>
        <v>0.5</v>
      </c>
      <c r="G5" s="13"/>
      <c r="H5" s="13"/>
      <c r="I5" s="58"/>
    </row>
    <row r="6" spans="2:9" ht="13.5">
      <c r="B6" s="57"/>
      <c r="C6" s="13" t="str">
        <f>'入力'!B6</f>
        <v>側壁厚</v>
      </c>
      <c r="D6" s="13" t="str">
        <f>'入力'!C6</f>
        <v>ｔ（ｍ）</v>
      </c>
      <c r="E6" s="13"/>
      <c r="F6" s="52">
        <f>'入力'!E6</f>
        <v>0.15</v>
      </c>
      <c r="G6" s="13"/>
      <c r="H6" s="13"/>
      <c r="I6" s="58"/>
    </row>
    <row r="7" spans="2:9" ht="13.5">
      <c r="B7" s="57"/>
      <c r="C7" s="13" t="str">
        <f>'入力'!B7</f>
        <v>底厚</v>
      </c>
      <c r="D7" s="13" t="str">
        <f>'入力'!C7</f>
        <v>h（ｍ）</v>
      </c>
      <c r="E7" s="13"/>
      <c r="F7" s="52">
        <f>'入力'!E7</f>
        <v>0.15</v>
      </c>
      <c r="G7" s="13"/>
      <c r="H7" s="13"/>
      <c r="I7" s="58"/>
    </row>
    <row r="8" spans="2:9" ht="13.5">
      <c r="B8" s="57"/>
      <c r="C8" s="13" t="s">
        <v>74</v>
      </c>
      <c r="D8" s="13" t="s">
        <v>75</v>
      </c>
      <c r="E8" s="13"/>
      <c r="F8" s="52">
        <f>F4+F6*2</f>
        <v>1.15</v>
      </c>
      <c r="G8" s="13"/>
      <c r="H8" s="13"/>
      <c r="I8" s="58"/>
    </row>
    <row r="9" spans="2:9" ht="13.5">
      <c r="B9" s="57"/>
      <c r="C9" s="13" t="str">
        <f>'入力'!B9</f>
        <v>支間長</v>
      </c>
      <c r="D9" s="13" t="str">
        <f>'入力'!C9</f>
        <v>L（ｍ）</v>
      </c>
      <c r="E9" s="13"/>
      <c r="F9" s="52">
        <f>'入力'!E9</f>
        <v>2.6</v>
      </c>
      <c r="G9" s="13"/>
      <c r="H9" s="13"/>
      <c r="I9" s="58"/>
    </row>
    <row r="10" spans="2:9" ht="13.5">
      <c r="B10" s="57"/>
      <c r="C10" s="13"/>
      <c r="D10" s="13"/>
      <c r="E10" s="13"/>
      <c r="F10" s="51"/>
      <c r="G10" s="13"/>
      <c r="H10" s="13"/>
      <c r="I10" s="58"/>
    </row>
    <row r="11" spans="2:9" ht="13.5">
      <c r="B11" s="57"/>
      <c r="C11" s="13" t="str">
        <f>'入力'!B11</f>
        <v>コンクリートの単位重量</v>
      </c>
      <c r="D11" s="13" t="str">
        <f>'入力'!C11</f>
        <v>γc（KN/m3）</v>
      </c>
      <c r="E11" s="13"/>
      <c r="F11" s="36">
        <f>'入力'!E11</f>
        <v>24.5</v>
      </c>
      <c r="G11" s="13"/>
      <c r="H11" s="13"/>
      <c r="I11" s="58"/>
    </row>
    <row r="12" spans="2:9" ht="13.5">
      <c r="B12" s="57"/>
      <c r="C12" s="13" t="str">
        <f>'入力'!B12</f>
        <v>水の単位重量</v>
      </c>
      <c r="D12" s="13" t="str">
        <f>'入力'!C12</f>
        <v>γw（KN/m3）</v>
      </c>
      <c r="E12" s="13"/>
      <c r="F12" s="36">
        <f>'入力'!E12</f>
        <v>9.8</v>
      </c>
      <c r="G12" s="13"/>
      <c r="H12" s="13"/>
      <c r="I12" s="58"/>
    </row>
    <row r="13" spans="2:9" ht="13.5">
      <c r="B13" s="57"/>
      <c r="C13" s="13"/>
      <c r="D13" s="13"/>
      <c r="E13" s="13"/>
      <c r="F13" s="53"/>
      <c r="G13" s="13"/>
      <c r="H13" s="13"/>
      <c r="I13" s="58"/>
    </row>
    <row r="14" spans="2:9" ht="13.5">
      <c r="B14" s="57"/>
      <c r="C14" s="13" t="str">
        <f>'入力'!B14</f>
        <v>活荷重（中央載荷集中荷重）</v>
      </c>
      <c r="D14" s="13" t="str">
        <f>'入力'!C14</f>
        <v>P（KN）</v>
      </c>
      <c r="E14" s="13"/>
      <c r="F14" s="36">
        <f>'入力'!E14</f>
        <v>1.77</v>
      </c>
      <c r="G14" s="13"/>
      <c r="H14" s="13"/>
      <c r="I14" s="58"/>
    </row>
    <row r="15" spans="2:9" ht="13.5">
      <c r="B15" s="57"/>
      <c r="C15" s="13"/>
      <c r="D15" s="13" t="str">
        <f>'入力'!C15</f>
        <v>説明</v>
      </c>
      <c r="E15" s="13"/>
      <c r="F15" s="13" t="str">
        <f>'入力'!E15</f>
        <v>支間中央に60kgの大人3名</v>
      </c>
      <c r="G15" s="13"/>
      <c r="H15" s="13"/>
      <c r="I15" s="58"/>
    </row>
    <row r="16" spans="2:9" ht="13.5">
      <c r="B16" s="57"/>
      <c r="C16" s="13"/>
      <c r="D16" s="13"/>
      <c r="E16" s="13"/>
      <c r="F16" s="13"/>
      <c r="G16" s="13"/>
      <c r="H16" s="13"/>
      <c r="I16" s="58"/>
    </row>
    <row r="17" spans="2:9" ht="13.5">
      <c r="B17" s="57"/>
      <c r="C17" s="13" t="s">
        <v>120</v>
      </c>
      <c r="D17" s="13"/>
      <c r="E17" s="13"/>
      <c r="F17" s="13"/>
      <c r="G17" s="13"/>
      <c r="H17" s="13"/>
      <c r="I17" s="58"/>
    </row>
    <row r="18" spans="2:9" ht="13.5">
      <c r="B18" s="57"/>
      <c r="C18" s="13" t="str">
        <f>'入力'!B17</f>
        <v>RCスラブの断面諸元</v>
      </c>
      <c r="D18" s="13"/>
      <c r="E18" s="13"/>
      <c r="F18" s="13"/>
      <c r="G18" s="13"/>
      <c r="H18" s="13"/>
      <c r="I18" s="58"/>
    </row>
    <row r="19" spans="2:9" ht="13.5">
      <c r="B19" s="57"/>
      <c r="C19" s="13" t="str">
        <f>'入力'!B18</f>
        <v>断面幅(mm)</v>
      </c>
      <c r="D19" s="13"/>
      <c r="E19" s="13"/>
      <c r="F19" s="24">
        <f>'入力'!E18</f>
        <v>1150</v>
      </c>
      <c r="G19" s="13"/>
      <c r="H19" s="13"/>
      <c r="I19" s="58"/>
    </row>
    <row r="20" spans="2:9" ht="13.5">
      <c r="B20" s="57"/>
      <c r="C20" s="13" t="str">
        <f>'入力'!B19</f>
        <v>引張り鉄筋径 Ｄ??</v>
      </c>
      <c r="D20" s="13"/>
      <c r="E20" s="13"/>
      <c r="F20" s="24">
        <f>'入力'!E19</f>
        <v>16</v>
      </c>
      <c r="G20" s="13"/>
      <c r="H20" s="13"/>
      <c r="I20" s="58"/>
    </row>
    <row r="21" spans="2:9" ht="13.5">
      <c r="B21" s="57"/>
      <c r="C21" s="13" t="str">
        <f>'入力'!B20</f>
        <v>配筋本数</v>
      </c>
      <c r="D21" s="13"/>
      <c r="E21" s="13"/>
      <c r="F21" s="24">
        <f>'入力'!E20</f>
        <v>6</v>
      </c>
      <c r="G21" s="13"/>
      <c r="H21" s="13"/>
      <c r="I21" s="58"/>
    </row>
    <row r="22" spans="2:9" ht="13.5">
      <c r="B22" s="57"/>
      <c r="C22" s="13" t="str">
        <f>'入力'!B21</f>
        <v>有効高　ｄ（mm）</v>
      </c>
      <c r="D22" s="13"/>
      <c r="E22" s="13"/>
      <c r="F22" s="24">
        <f>'入力'!E21</f>
        <v>100</v>
      </c>
      <c r="G22" s="13"/>
      <c r="H22" s="13"/>
      <c r="I22" s="58"/>
    </row>
    <row r="23" spans="2:9" ht="13.5">
      <c r="B23" s="57"/>
      <c r="C23" s="13" t="str">
        <f>'入力'!B22</f>
        <v>圧縮鉄筋径   Ｄ??</v>
      </c>
      <c r="D23" s="13"/>
      <c r="E23" s="13"/>
      <c r="F23" s="24">
        <f>IF(F24=0,"",'入力'!E22)</f>
      </c>
      <c r="G23" s="13"/>
      <c r="H23" s="13"/>
      <c r="I23" s="58"/>
    </row>
    <row r="24" spans="2:9" ht="13.5">
      <c r="B24" s="57"/>
      <c r="C24" s="13" t="str">
        <f>'入力'!B23</f>
        <v>配筋本数</v>
      </c>
      <c r="D24" s="13"/>
      <c r="E24" s="13"/>
      <c r="F24" s="24">
        <f>'入力'!E23</f>
        <v>0</v>
      </c>
      <c r="G24" s="13"/>
      <c r="H24" s="13"/>
      <c r="I24" s="58"/>
    </row>
    <row r="25" spans="2:9" ht="13.5">
      <c r="B25" s="57"/>
      <c r="C25" s="13" t="str">
        <f>'入力'!B24</f>
        <v>有効高　ｄ'（mm）</v>
      </c>
      <c r="D25" s="13"/>
      <c r="E25" s="13"/>
      <c r="F25" s="24">
        <f>'入力'!E24</f>
        <v>0</v>
      </c>
      <c r="G25" s="13"/>
      <c r="H25" s="13"/>
      <c r="I25" s="58"/>
    </row>
    <row r="26" spans="2:9" ht="13.5">
      <c r="B26" s="57"/>
      <c r="C26" s="13" t="str">
        <f>'入力'!B25</f>
        <v>コンクリートの呼び強度(N/m㎡)</v>
      </c>
      <c r="D26" s="13"/>
      <c r="E26" s="13"/>
      <c r="F26" s="24">
        <f>'入力'!E25</f>
        <v>21</v>
      </c>
      <c r="G26" s="13"/>
      <c r="H26" s="13"/>
      <c r="I26" s="58"/>
    </row>
    <row r="27" spans="2:9" ht="13.5">
      <c r="B27" s="57"/>
      <c r="C27" s="13" t="str">
        <f>'入力'!B26</f>
        <v>鉄筋の許容応力度σsa(N/m㎡)</v>
      </c>
      <c r="D27" s="13"/>
      <c r="E27" s="13"/>
      <c r="F27" s="24">
        <f>'入力'!E26</f>
        <v>180</v>
      </c>
      <c r="G27" s="13"/>
      <c r="H27" s="13"/>
      <c r="I27" s="58"/>
    </row>
    <row r="28" spans="2:9" ht="13.5">
      <c r="B28" s="57"/>
      <c r="C28" s="13" t="str">
        <f>'入力'!B27</f>
        <v>σca(N/m㎡)</v>
      </c>
      <c r="D28" s="13"/>
      <c r="E28" s="13"/>
      <c r="F28" s="24">
        <f>'入力'!E27</f>
        <v>7</v>
      </c>
      <c r="G28" s="13"/>
      <c r="H28" s="13"/>
      <c r="I28" s="58"/>
    </row>
    <row r="29" spans="2:9" ht="13.5">
      <c r="B29" s="57"/>
      <c r="C29" s="13" t="str">
        <f>'入力'!B28</f>
        <v>τa(N/m㎡)</v>
      </c>
      <c r="D29" s="13"/>
      <c r="E29" s="13"/>
      <c r="F29" s="24">
        <f>'入力'!E28</f>
        <v>0.36</v>
      </c>
      <c r="G29" s="13"/>
      <c r="H29" s="13"/>
      <c r="I29" s="58"/>
    </row>
    <row r="30" spans="2:9" ht="13.5">
      <c r="B30" s="57"/>
      <c r="C30" s="13" t="str">
        <f>'入力'!B29</f>
        <v>τoa(N/m㎡)</v>
      </c>
      <c r="D30" s="13"/>
      <c r="E30" s="13"/>
      <c r="F30" s="24">
        <f>'入力'!E29</f>
        <v>1.6</v>
      </c>
      <c r="G30" s="13"/>
      <c r="H30" s="13"/>
      <c r="I30" s="58"/>
    </row>
    <row r="31" spans="2:9" ht="13.5">
      <c r="B31" s="57"/>
      <c r="C31" s="13"/>
      <c r="D31" s="13"/>
      <c r="E31" s="13"/>
      <c r="F31" s="13"/>
      <c r="G31" s="13"/>
      <c r="H31" s="13"/>
      <c r="I31" s="58"/>
    </row>
    <row r="32" spans="2:9" ht="13.5">
      <c r="B32" s="57" t="s">
        <v>72</v>
      </c>
      <c r="C32" s="13"/>
      <c r="D32" s="13"/>
      <c r="E32" s="13"/>
      <c r="F32" s="13"/>
      <c r="G32" s="13"/>
      <c r="H32" s="13"/>
      <c r="I32" s="58"/>
    </row>
    <row r="33" spans="2:9" ht="13.5">
      <c r="B33" s="59" t="s">
        <v>73</v>
      </c>
      <c r="C33" s="13"/>
      <c r="D33" s="13"/>
      <c r="E33" s="13"/>
      <c r="F33" s="13"/>
      <c r="G33" s="13"/>
      <c r="H33" s="13"/>
      <c r="I33" s="58"/>
    </row>
    <row r="34" spans="2:9" ht="15.75" customHeight="1">
      <c r="B34" s="57"/>
      <c r="C34" s="13" t="s">
        <v>76</v>
      </c>
      <c r="D34" s="13"/>
      <c r="E34" s="60" t="s">
        <v>85</v>
      </c>
      <c r="F34" s="24">
        <f>ROUND((F6*F5*2+F8*F7)*F11,3)</f>
        <v>7.901</v>
      </c>
      <c r="G34" s="13" t="s">
        <v>79</v>
      </c>
      <c r="H34" s="13"/>
      <c r="I34" s="58"/>
    </row>
    <row r="35" spans="2:9" ht="15.75" customHeight="1">
      <c r="B35" s="57"/>
      <c r="C35" s="13" t="s">
        <v>77</v>
      </c>
      <c r="D35" s="13"/>
      <c r="E35" s="60" t="s">
        <v>86</v>
      </c>
      <c r="F35" s="24">
        <f>ROUND(F4*F5*F12,3)</f>
        <v>4.165</v>
      </c>
      <c r="G35" s="13" t="s">
        <v>79</v>
      </c>
      <c r="H35" s="13"/>
      <c r="I35" s="58"/>
    </row>
    <row r="36" spans="2:10" ht="15.75" customHeight="1">
      <c r="B36" s="59" t="s">
        <v>80</v>
      </c>
      <c r="C36" s="13"/>
      <c r="D36" s="13"/>
      <c r="E36" s="60"/>
      <c r="F36" s="13"/>
      <c r="G36" s="13"/>
      <c r="H36" s="13"/>
      <c r="I36" s="58"/>
      <c r="J36" s="6"/>
    </row>
    <row r="37" spans="2:10" ht="15.75" customHeight="1">
      <c r="B37" s="57"/>
      <c r="C37" s="13" t="str">
        <f>F15</f>
        <v>支間中央に60kgの大人3名</v>
      </c>
      <c r="D37" s="13"/>
      <c r="E37" s="60" t="s">
        <v>84</v>
      </c>
      <c r="F37" s="36">
        <f>F14</f>
        <v>1.77</v>
      </c>
      <c r="G37" s="13" t="s">
        <v>78</v>
      </c>
      <c r="H37" s="13"/>
      <c r="I37" s="58"/>
      <c r="J37" s="6"/>
    </row>
    <row r="38" spans="2:10" ht="15.75" customHeight="1">
      <c r="B38" s="57"/>
      <c r="C38" s="13"/>
      <c r="D38" s="13"/>
      <c r="E38" s="13"/>
      <c r="F38" s="13"/>
      <c r="G38" s="13"/>
      <c r="H38" s="13"/>
      <c r="I38" s="58"/>
      <c r="J38" s="6"/>
    </row>
    <row r="39" spans="1:10" ht="15.75" customHeight="1">
      <c r="A39" s="58"/>
      <c r="B39" s="57" t="s">
        <v>81</v>
      </c>
      <c r="C39" s="13"/>
      <c r="D39" s="13"/>
      <c r="E39" s="13"/>
      <c r="F39" s="13"/>
      <c r="G39" s="13"/>
      <c r="H39" s="13"/>
      <c r="I39" s="58"/>
      <c r="J39" s="6"/>
    </row>
    <row r="40" spans="1:10" ht="15.75" customHeight="1">
      <c r="A40" s="6"/>
      <c r="B40" s="57" t="s">
        <v>82</v>
      </c>
      <c r="C40" s="13"/>
      <c r="D40" s="13"/>
      <c r="E40" s="13"/>
      <c r="F40" s="13"/>
      <c r="G40" s="13"/>
      <c r="H40" s="13"/>
      <c r="I40" s="58"/>
      <c r="J40" s="6"/>
    </row>
    <row r="41" spans="2:10" ht="15.75" customHeight="1">
      <c r="B41" s="57"/>
      <c r="C41" s="13" t="s">
        <v>83</v>
      </c>
      <c r="D41" s="13"/>
      <c r="E41" s="13"/>
      <c r="F41" s="13"/>
      <c r="G41" s="13"/>
      <c r="H41" s="13"/>
      <c r="I41" s="58"/>
      <c r="J41" s="6"/>
    </row>
    <row r="42" spans="2:10" ht="15.75" customHeight="1">
      <c r="B42" s="57"/>
      <c r="C42" s="13"/>
      <c r="D42" s="13"/>
      <c r="E42" s="13"/>
      <c r="F42" s="13"/>
      <c r="G42" s="13"/>
      <c r="H42" s="13"/>
      <c r="I42" s="58"/>
      <c r="J42" s="6"/>
    </row>
    <row r="43" spans="2:10" ht="15.75" customHeight="1">
      <c r="B43" s="57"/>
      <c r="C43" s="13"/>
      <c r="D43" s="13"/>
      <c r="E43" s="13"/>
      <c r="F43" s="24">
        <f>ROUND((F34+F35)*F9^2/8+F37*F9/4,3)</f>
        <v>11.346</v>
      </c>
      <c r="G43" s="13" t="s">
        <v>87</v>
      </c>
      <c r="H43" s="13"/>
      <c r="I43" s="58"/>
      <c r="J43" s="6"/>
    </row>
    <row r="44" spans="2:10" ht="15.75" customHeight="1">
      <c r="B44" s="57" t="s">
        <v>88</v>
      </c>
      <c r="C44" s="13"/>
      <c r="D44" s="13"/>
      <c r="E44" s="13"/>
      <c r="F44" s="13"/>
      <c r="G44" s="13"/>
      <c r="H44" s="13"/>
      <c r="I44" s="58"/>
      <c r="J44" s="6"/>
    </row>
    <row r="45" spans="2:10" ht="15.75" customHeight="1">
      <c r="B45" s="57"/>
      <c r="C45" s="13" t="s">
        <v>89</v>
      </c>
      <c r="D45" s="13"/>
      <c r="E45" s="13"/>
      <c r="F45" s="13"/>
      <c r="G45" s="13"/>
      <c r="H45" s="13"/>
      <c r="I45" s="58"/>
      <c r="J45" s="6"/>
    </row>
    <row r="46" spans="2:10" ht="15.75" customHeight="1">
      <c r="B46" s="57"/>
      <c r="C46" s="13"/>
      <c r="D46" s="13"/>
      <c r="E46" s="13"/>
      <c r="F46" s="13"/>
      <c r="G46" s="13"/>
      <c r="H46" s="13"/>
      <c r="I46" s="58"/>
      <c r="J46" s="6"/>
    </row>
    <row r="47" spans="2:10" ht="15.75" customHeight="1">
      <c r="B47" s="57"/>
      <c r="C47" s="13"/>
      <c r="D47" s="13"/>
      <c r="E47" s="13"/>
      <c r="F47" s="24">
        <f>ROUND((F34+F35)*F9/2+F37,3)</f>
        <v>17.456</v>
      </c>
      <c r="G47" s="13" t="s">
        <v>91</v>
      </c>
      <c r="H47" s="13"/>
      <c r="I47" s="58"/>
      <c r="J47" s="6"/>
    </row>
    <row r="48" spans="2:10" ht="15.75" customHeight="1">
      <c r="B48" s="57"/>
      <c r="C48" s="13"/>
      <c r="D48" s="13"/>
      <c r="E48" s="13"/>
      <c r="F48" s="13"/>
      <c r="G48" s="13"/>
      <c r="H48" s="13"/>
      <c r="I48" s="58"/>
      <c r="J48" s="6"/>
    </row>
    <row r="49" spans="2:10" ht="15.75" customHeight="1">
      <c r="B49" s="57" t="s">
        <v>96</v>
      </c>
      <c r="C49" s="13"/>
      <c r="D49" s="13"/>
      <c r="E49" s="13"/>
      <c r="F49" s="13"/>
      <c r="G49" s="13"/>
      <c r="H49" s="13"/>
      <c r="I49" s="58"/>
      <c r="J49" s="6"/>
    </row>
    <row r="50" spans="2:10" ht="15.75" customHeight="1">
      <c r="B50" s="57" t="s">
        <v>97</v>
      </c>
      <c r="C50" s="13"/>
      <c r="D50" s="13"/>
      <c r="E50" s="13"/>
      <c r="F50" s="13"/>
      <c r="G50" s="13"/>
      <c r="H50" s="13"/>
      <c r="I50" s="58"/>
      <c r="J50" s="6"/>
    </row>
    <row r="51" spans="2:10" ht="15.75" customHeight="1">
      <c r="B51" s="57"/>
      <c r="C51" s="13"/>
      <c r="D51" s="13"/>
      <c r="E51" s="13"/>
      <c r="F51" s="13"/>
      <c r="G51" s="13"/>
      <c r="H51" s="13"/>
      <c r="I51" s="58"/>
      <c r="J51" s="6"/>
    </row>
    <row r="52" spans="1:10" ht="15.75" customHeight="1">
      <c r="A52" s="13"/>
      <c r="B52" s="57"/>
      <c r="C52" s="13"/>
      <c r="D52" s="13"/>
      <c r="E52" s="13" t="s">
        <v>92</v>
      </c>
      <c r="F52" s="13"/>
      <c r="G52" s="13"/>
      <c r="H52" s="13"/>
      <c r="I52" s="58"/>
      <c r="J52" s="6"/>
    </row>
    <row r="53" spans="1:10" ht="15.75" customHeight="1">
      <c r="A53" s="13"/>
      <c r="B53" s="57"/>
      <c r="C53" s="13"/>
      <c r="D53" s="13"/>
      <c r="E53" s="60" t="s">
        <v>93</v>
      </c>
      <c r="F53" s="52">
        <f>ROUND(('入力'!C66*F28+F27)/('入力'!C66*F28)*SQRT((6*'入力'!C66)/(2*'入力'!C66*F28+3*F27)),3)</f>
        <v>0.94</v>
      </c>
      <c r="G53" s="13"/>
      <c r="H53" s="13"/>
      <c r="I53" s="58"/>
      <c r="J53" s="6"/>
    </row>
    <row r="54" spans="1:10" ht="15.75" customHeight="1">
      <c r="A54" s="6"/>
      <c r="B54" s="57"/>
      <c r="C54" s="13"/>
      <c r="D54" s="13"/>
      <c r="E54" s="60" t="s">
        <v>94</v>
      </c>
      <c r="F54" s="24">
        <f>ROUND(F53*SQRT(F43*1000000/F19),3)</f>
        <v>93.368</v>
      </c>
      <c r="G54" s="13" t="s">
        <v>95</v>
      </c>
      <c r="H54" s="13"/>
      <c r="I54" s="58"/>
      <c r="J54" s="6"/>
    </row>
    <row r="55" spans="1:10" ht="15.75" customHeight="1">
      <c r="A55" s="13"/>
      <c r="B55" s="57"/>
      <c r="C55" s="13"/>
      <c r="D55" s="13"/>
      <c r="E55" s="13"/>
      <c r="F55" s="13"/>
      <c r="G55" s="13"/>
      <c r="H55" s="13"/>
      <c r="I55" s="58"/>
      <c r="J55" s="6"/>
    </row>
    <row r="56" spans="1:10" ht="15.75" customHeight="1">
      <c r="A56" s="13"/>
      <c r="B56" s="57"/>
      <c r="C56" s="13" t="s">
        <v>98</v>
      </c>
      <c r="D56" s="13"/>
      <c r="E56" s="13"/>
      <c r="F56" s="24">
        <f>F22</f>
        <v>100</v>
      </c>
      <c r="G56" s="13" t="s">
        <v>99</v>
      </c>
      <c r="H56" s="13"/>
      <c r="I56" s="58"/>
      <c r="J56" s="6"/>
    </row>
    <row r="57" spans="1:10" ht="15.75" customHeight="1">
      <c r="A57" s="13"/>
      <c r="B57" s="57"/>
      <c r="C57" s="13"/>
      <c r="D57" s="13"/>
      <c r="E57" s="13"/>
      <c r="F57" s="13"/>
      <c r="G57" s="13"/>
      <c r="H57" s="13"/>
      <c r="I57" s="58"/>
      <c r="J57" s="6"/>
    </row>
    <row r="58" spans="1:10" ht="15.75" customHeight="1">
      <c r="A58" s="6"/>
      <c r="B58" s="57" t="s">
        <v>100</v>
      </c>
      <c r="C58" s="13"/>
      <c r="D58" s="13"/>
      <c r="E58" s="13"/>
      <c r="F58" s="13"/>
      <c r="G58" s="13"/>
      <c r="H58" s="13"/>
      <c r="I58" s="58"/>
      <c r="J58" s="6"/>
    </row>
    <row r="59" spans="1:10" ht="15.75" customHeight="1">
      <c r="A59" s="13"/>
      <c r="B59" s="57"/>
      <c r="C59" s="13"/>
      <c r="D59" s="13"/>
      <c r="E59" s="13"/>
      <c r="F59" s="13"/>
      <c r="G59" s="13"/>
      <c r="H59" s="13"/>
      <c r="I59" s="58"/>
      <c r="J59" s="6"/>
    </row>
    <row r="60" spans="1:10" ht="15.75" customHeight="1">
      <c r="A60" s="13"/>
      <c r="B60" s="57"/>
      <c r="C60" s="13"/>
      <c r="D60" s="13"/>
      <c r="E60" s="13"/>
      <c r="F60" s="13"/>
      <c r="G60" s="13"/>
      <c r="H60" s="13"/>
      <c r="I60" s="58"/>
      <c r="J60" s="6"/>
    </row>
    <row r="61" spans="1:10" ht="15.75" customHeight="1">
      <c r="A61" s="6"/>
      <c r="B61" s="57"/>
      <c r="C61" s="13"/>
      <c r="D61" s="13"/>
      <c r="E61" s="60" t="s">
        <v>101</v>
      </c>
      <c r="F61" s="24">
        <f>ROUND(F43*1000000/(F27*7/8*F56),3)</f>
        <v>720.381</v>
      </c>
      <c r="G61" s="13" t="s">
        <v>102</v>
      </c>
      <c r="H61" s="13"/>
      <c r="I61" s="58"/>
      <c r="J61" s="6"/>
    </row>
    <row r="62" spans="1:10" ht="15.75" customHeight="1">
      <c r="A62" s="13"/>
      <c r="B62" s="57"/>
      <c r="C62" s="13" t="str">
        <f>"D"&amp;F20&amp;"を、"&amp;F21&amp;"本配置する"</f>
        <v>D16を、6本配置する</v>
      </c>
      <c r="D62" s="13"/>
      <c r="E62" s="60" t="s">
        <v>103</v>
      </c>
      <c r="F62" s="38">
        <f>F68</f>
        <v>1191.6</v>
      </c>
      <c r="G62" s="13" t="s">
        <v>102</v>
      </c>
      <c r="H62" s="13"/>
      <c r="I62" s="58"/>
      <c r="J62" s="6"/>
    </row>
    <row r="63" spans="1:10" ht="15.75" customHeight="1" thickBot="1">
      <c r="A63" s="6"/>
      <c r="B63" s="61"/>
      <c r="C63" s="62"/>
      <c r="D63" s="62"/>
      <c r="E63" s="62"/>
      <c r="F63" s="62"/>
      <c r="G63" s="62"/>
      <c r="H63" s="62"/>
      <c r="I63" s="63"/>
      <c r="J63" s="6"/>
    </row>
    <row r="64" spans="1:10" ht="15.75" customHeight="1">
      <c r="A64" s="13"/>
      <c r="B64" s="9"/>
      <c r="C64" s="10"/>
      <c r="D64" s="10"/>
      <c r="E64" s="10"/>
      <c r="F64" s="10"/>
      <c r="G64" s="10"/>
      <c r="H64" s="10"/>
      <c r="I64" s="11"/>
      <c r="J64" s="6"/>
    </row>
    <row r="65" spans="1:10" ht="15.75" customHeight="1">
      <c r="A65" s="13"/>
      <c r="B65" s="12"/>
      <c r="C65" s="33"/>
      <c r="D65" s="13"/>
      <c r="E65" s="13"/>
      <c r="F65" s="13"/>
      <c r="G65" s="13"/>
      <c r="H65" s="13"/>
      <c r="I65" s="14"/>
      <c r="J65" s="6"/>
    </row>
    <row r="66" spans="1:10" ht="15.75" customHeight="1">
      <c r="A66" s="6"/>
      <c r="B66" s="12"/>
      <c r="C66" s="13"/>
      <c r="D66" s="13"/>
      <c r="E66" s="13"/>
      <c r="F66" s="13"/>
      <c r="G66" s="13"/>
      <c r="H66" s="13"/>
      <c r="I66" s="14"/>
      <c r="J66" s="6"/>
    </row>
    <row r="67" spans="2:10" ht="15.75" customHeight="1">
      <c r="B67" s="12"/>
      <c r="C67" s="13" t="s">
        <v>0</v>
      </c>
      <c r="D67" s="13"/>
      <c r="E67" s="13"/>
      <c r="F67" s="13"/>
      <c r="G67" s="13"/>
      <c r="H67" s="13"/>
      <c r="I67" s="14"/>
      <c r="J67" s="6"/>
    </row>
    <row r="68" spans="2:10" ht="15.75" customHeight="1">
      <c r="B68" s="12"/>
      <c r="C68" s="13" t="str">
        <f>"引張鉄筋径 D-"&amp;FIXED('入力'!E19,0,TRUE)</f>
        <v>引張鉄筋径 D-16</v>
      </c>
      <c r="D68" s="13"/>
      <c r="E68" s="13" t="s">
        <v>28</v>
      </c>
      <c r="F68" s="44">
        <f>'入力'!G37</f>
        <v>1191.6</v>
      </c>
      <c r="G68" s="15" t="str">
        <f>FIXED('入力'!E20,0,TRUE)&amp;"本"</f>
        <v>6本</v>
      </c>
      <c r="H68" s="13"/>
      <c r="I68" s="14"/>
      <c r="J68" s="6"/>
    </row>
    <row r="69" spans="2:10" ht="15.75" customHeight="1">
      <c r="B69" s="12"/>
      <c r="C69" s="13" t="s">
        <v>49</v>
      </c>
      <c r="D69" s="13"/>
      <c r="E69" s="13"/>
      <c r="F69" s="45">
        <f>'入力'!E21</f>
        <v>100</v>
      </c>
      <c r="G69" s="13"/>
      <c r="H69" s="13"/>
      <c r="I69" s="14"/>
      <c r="J69" s="6"/>
    </row>
    <row r="70" spans="2:10" ht="15.75" customHeight="1">
      <c r="B70" s="12"/>
      <c r="C70" s="13">
        <f>IF(F70=0,"","圧縮鉄筋径 D-"&amp;FIXED('入力'!E22,0,TRUE))</f>
      </c>
      <c r="D70" s="13"/>
      <c r="E70" s="13" t="s">
        <v>29</v>
      </c>
      <c r="F70" s="44">
        <f>'入力'!G40</f>
        <v>0</v>
      </c>
      <c r="G70" s="15" t="str">
        <f>FIXED('入力'!E23,0,TRUE)&amp;"本"</f>
        <v>0本</v>
      </c>
      <c r="H70" s="13"/>
      <c r="I70" s="14"/>
      <c r="J70" s="6"/>
    </row>
    <row r="71" spans="2:10" ht="15.75" customHeight="1">
      <c r="B71" s="12"/>
      <c r="C71" s="13">
        <f>IF(F70=0,"","有効高　d'(mm）")</f>
      </c>
      <c r="D71" s="13"/>
      <c r="E71" s="13"/>
      <c r="F71" s="45">
        <f>'入力'!E24</f>
        <v>0</v>
      </c>
      <c r="G71" s="13"/>
      <c r="H71" s="13"/>
      <c r="I71" s="14"/>
      <c r="J71" s="6"/>
    </row>
    <row r="72" spans="2:10" ht="15.75" customHeight="1">
      <c r="B72" s="12"/>
      <c r="C72" s="13"/>
      <c r="D72" s="13"/>
      <c r="E72" s="13"/>
      <c r="F72" s="7"/>
      <c r="G72" s="16"/>
      <c r="H72" s="13"/>
      <c r="I72" s="14"/>
      <c r="J72" s="6"/>
    </row>
    <row r="73" spans="2:10" ht="15.75" customHeight="1">
      <c r="B73" s="12"/>
      <c r="C73" s="17" t="s">
        <v>24</v>
      </c>
      <c r="D73" s="13"/>
      <c r="E73" s="13"/>
      <c r="F73" s="13"/>
      <c r="G73" s="16"/>
      <c r="H73" s="13"/>
      <c r="I73" s="14"/>
      <c r="J73" s="6"/>
    </row>
    <row r="74" spans="2:10" ht="15.75" customHeight="1">
      <c r="B74" s="12"/>
      <c r="C74" s="13" t="s">
        <v>21</v>
      </c>
      <c r="D74" s="13" t="s">
        <v>50</v>
      </c>
      <c r="E74" s="13"/>
      <c r="F74" s="45">
        <f>'入力'!E27</f>
        <v>7</v>
      </c>
      <c r="G74" s="13"/>
      <c r="H74" s="13"/>
      <c r="I74" s="14"/>
      <c r="J74" s="6"/>
    </row>
    <row r="75" spans="2:10" ht="15.75" customHeight="1">
      <c r="B75" s="12"/>
      <c r="C75" s="13" t="s">
        <v>22</v>
      </c>
      <c r="D75" s="13" t="s">
        <v>50</v>
      </c>
      <c r="E75" s="13"/>
      <c r="F75" s="45">
        <f>'入力'!E26</f>
        <v>180</v>
      </c>
      <c r="G75" s="13"/>
      <c r="H75" s="13"/>
      <c r="I75" s="14"/>
      <c r="J75" s="6"/>
    </row>
    <row r="76" spans="2:10" ht="15.75" customHeight="1">
      <c r="B76" s="12"/>
      <c r="C76" s="13" t="s">
        <v>25</v>
      </c>
      <c r="D76" s="13" t="s">
        <v>50</v>
      </c>
      <c r="E76" s="13"/>
      <c r="F76" s="42">
        <f>'入力'!E28</f>
        <v>0.36</v>
      </c>
      <c r="G76" s="13"/>
      <c r="H76" s="13"/>
      <c r="I76" s="14"/>
      <c r="J76" s="6"/>
    </row>
    <row r="77" spans="2:10" ht="15.75" customHeight="1">
      <c r="B77" s="12"/>
      <c r="C77" s="13" t="s">
        <v>35</v>
      </c>
      <c r="D77" s="13" t="s">
        <v>50</v>
      </c>
      <c r="E77" s="13"/>
      <c r="F77" s="42">
        <f>'入力'!E29</f>
        <v>1.6</v>
      </c>
      <c r="G77" s="13"/>
      <c r="H77" s="13"/>
      <c r="I77" s="14"/>
      <c r="J77" s="6"/>
    </row>
    <row r="78" spans="2:10" ht="15.75" customHeight="1">
      <c r="B78" s="12"/>
      <c r="C78" s="13" t="s">
        <v>3</v>
      </c>
      <c r="D78" s="13"/>
      <c r="E78" s="13"/>
      <c r="F78" s="13"/>
      <c r="G78" s="13"/>
      <c r="H78" s="13"/>
      <c r="I78" s="14"/>
      <c r="J78" s="6"/>
    </row>
    <row r="79" spans="2:10" ht="15.75" customHeight="1">
      <c r="B79" s="12"/>
      <c r="C79" s="13" t="s">
        <v>41</v>
      </c>
      <c r="D79" s="13"/>
      <c r="E79" s="13"/>
      <c r="F79" s="46">
        <f>'入力'!E32</f>
        <v>11.346</v>
      </c>
      <c r="G79" s="13"/>
      <c r="H79" s="13"/>
      <c r="I79" s="14"/>
      <c r="J79" s="6"/>
    </row>
    <row r="80" spans="2:10" ht="15.75" customHeight="1">
      <c r="B80" s="12"/>
      <c r="C80" s="13" t="s">
        <v>34</v>
      </c>
      <c r="D80" s="13"/>
      <c r="E80" s="13"/>
      <c r="F80" s="46">
        <f>'入力'!E33</f>
        <v>17.456</v>
      </c>
      <c r="G80" s="13"/>
      <c r="H80" s="13"/>
      <c r="I80" s="14"/>
      <c r="J80" s="6"/>
    </row>
    <row r="81" spans="2:10" ht="15.75" customHeight="1">
      <c r="B81" s="12"/>
      <c r="C81" s="13" t="s">
        <v>4</v>
      </c>
      <c r="D81" s="13"/>
      <c r="E81" s="13"/>
      <c r="F81" s="13"/>
      <c r="G81" s="13"/>
      <c r="H81" s="13"/>
      <c r="I81" s="14"/>
      <c r="J81" s="6"/>
    </row>
    <row r="82" spans="2:10" ht="15.75" customHeight="1">
      <c r="B82" s="12"/>
      <c r="C82" s="13" t="s">
        <v>11</v>
      </c>
      <c r="D82" s="13"/>
      <c r="E82" s="13"/>
      <c r="F82" s="13"/>
      <c r="G82" s="13"/>
      <c r="H82" s="13"/>
      <c r="I82" s="14"/>
      <c r="J82" s="6"/>
    </row>
    <row r="83" spans="2:10" ht="15.75" customHeight="1">
      <c r="B83" s="12"/>
      <c r="C83" s="13" t="str">
        <f>"  ="&amp;FIXED('入力'!G37,3,TRUE)&amp;"/("&amp;FIXED('入力'!E18,1,TRUE)&amp;"*"&amp;FIXED('入力'!E21,1,TRUE)&amp;")"</f>
        <v>  =1191.600/(1150.0*100.0)</v>
      </c>
      <c r="D83" s="13"/>
      <c r="E83" s="13"/>
      <c r="F83" s="13"/>
      <c r="G83" s="13"/>
      <c r="H83" s="13"/>
      <c r="I83" s="14"/>
      <c r="J83" s="6"/>
    </row>
    <row r="84" spans="2:10" ht="15.75" customHeight="1">
      <c r="B84" s="12"/>
      <c r="C84" s="13" t="str">
        <f>"  ="&amp;FIXED('入力'!$G$37/'入力'!$E$18/'入力'!$E$21,4,TRUE)</f>
        <v>  =0.0104</v>
      </c>
      <c r="D84" s="13"/>
      <c r="E84" s="13"/>
      <c r="F84" s="13"/>
      <c r="G84" s="13"/>
      <c r="H84" s="13"/>
      <c r="I84" s="14"/>
      <c r="J84" s="6"/>
    </row>
    <row r="85" spans="2:10" ht="15.75" customHeight="1">
      <c r="B85" s="12"/>
      <c r="C85" s="13" t="s">
        <v>12</v>
      </c>
      <c r="D85" s="13"/>
      <c r="E85" s="13"/>
      <c r="F85" s="13"/>
      <c r="G85" s="13"/>
      <c r="H85" s="13"/>
      <c r="I85" s="14"/>
      <c r="J85" s="6"/>
    </row>
    <row r="86" spans="2:10" ht="15.75" customHeight="1">
      <c r="B86" s="12"/>
      <c r="C86" s="13" t="str">
        <f>"   ="&amp;FIXED('入力'!G40,3,TRUE)&amp;"/("&amp;FIXED('入力'!E18,1,TRUE)&amp;"*"&amp;FIXED('入力'!E21,1,TRUE)&amp;")"</f>
        <v>   =0.000/(1150.0*100.0)</v>
      </c>
      <c r="D86" s="13"/>
      <c r="E86" s="13"/>
      <c r="F86" s="13"/>
      <c r="G86" s="13"/>
      <c r="H86" s="13"/>
      <c r="I86" s="14"/>
      <c r="J86" s="6"/>
    </row>
    <row r="87" spans="2:10" ht="15.75" customHeight="1">
      <c r="B87" s="12"/>
      <c r="C87" s="13" t="str">
        <f>"   ="&amp;FIXED('入力'!$G$40/'入力'!$E$18/'入力'!$E$21,4,TRUE)</f>
        <v>   =0.0000</v>
      </c>
      <c r="D87" s="13"/>
      <c r="E87" s="13"/>
      <c r="F87" s="13"/>
      <c r="G87" s="13"/>
      <c r="H87" s="13"/>
      <c r="I87" s="14"/>
      <c r="J87" s="6"/>
    </row>
    <row r="88" spans="2:10" ht="15.75" customHeight="1">
      <c r="B88" s="12"/>
      <c r="C88" s="13" t="s">
        <v>13</v>
      </c>
      <c r="D88" s="13"/>
      <c r="E88" s="13"/>
      <c r="F88" s="13"/>
      <c r="G88" s="13"/>
      <c r="H88" s="13"/>
      <c r="I88" s="14"/>
      <c r="J88" s="6"/>
    </row>
    <row r="89" spans="2:9" ht="15.75" customHeight="1">
      <c r="B89" s="12"/>
      <c r="C89" s="13" t="str">
        <f>" =√(2*"&amp;FIXED('入力'!C66,0,TRUE)&amp;"*("&amp;FIXED(B125,4,TRUE)&amp;"+"&amp;FIXED(B126,4,TRUE)&amp;"*("&amp;FIXED('入力'!E24,2,TRUE)&amp;"/"&amp;FIXED('入力'!E21,2,TRUE)&amp;"))"</f>
        <v> =√(2*15*(0.0104+0.0000*(0.00/100.00))</v>
      </c>
      <c r="D89" s="13"/>
      <c r="E89" s="13"/>
      <c r="F89" s="13"/>
      <c r="G89" s="13"/>
      <c r="H89" s="13"/>
      <c r="I89" s="14"/>
    </row>
    <row r="90" spans="2:9" ht="15.75" customHeight="1">
      <c r="B90" s="12"/>
      <c r="C90" s="13" t="str">
        <f>" +"&amp;FIXED('入力'!C66,0,TRUE)&amp;"^2*("&amp;FIXED(B125,4,TRUE)&amp;"+"&amp;FIXED(B126,4,TRUE)&amp;")^2)-"&amp;FIXED('入力'!C66,0,TRUE)&amp;"*("&amp;FIXED(B125,4,TRUE)&amp;"+"&amp;FIXED(B126,4,TRUE)&amp;")"</f>
        <v> +15^2*(0.0104+0.0000)^2)-15*(0.0104+0.0000)</v>
      </c>
      <c r="D90" s="13"/>
      <c r="E90" s="13"/>
      <c r="F90" s="13"/>
      <c r="G90" s="13"/>
      <c r="H90" s="13"/>
      <c r="I90" s="14"/>
    </row>
    <row r="91" spans="2:9" ht="15.75" customHeight="1">
      <c r="B91" s="12"/>
      <c r="C91" s="13" t="str">
        <f>" ="&amp;FIXED(B127,3,TRUE)</f>
        <v> =0.423</v>
      </c>
      <c r="D91" s="13"/>
      <c r="E91" s="13"/>
      <c r="F91" s="13"/>
      <c r="G91" s="13"/>
      <c r="H91" s="13"/>
      <c r="I91" s="14"/>
    </row>
    <row r="92" spans="2:9" ht="15.75" customHeight="1">
      <c r="B92" s="12"/>
      <c r="C92" s="13" t="s">
        <v>14</v>
      </c>
      <c r="D92" s="13"/>
      <c r="E92" s="13"/>
      <c r="F92" s="13"/>
      <c r="G92" s="13"/>
      <c r="H92" s="13"/>
      <c r="I92" s="14"/>
    </row>
    <row r="93" spans="2:9" ht="13.5">
      <c r="B93" s="12"/>
      <c r="C93" s="13" t="str">
        <f>" ="&amp;FIXED(B127,3,TRUE)&amp;"*"&amp;FIXED('入力'!E21,2,TRUE)</f>
        <v> =0.423*100.00</v>
      </c>
      <c r="D93" s="13"/>
      <c r="E93" s="13"/>
      <c r="F93" s="13"/>
      <c r="G93" s="13"/>
      <c r="H93" s="13"/>
      <c r="I93" s="14"/>
    </row>
    <row r="94" spans="2:9" ht="13.5">
      <c r="B94" s="12"/>
      <c r="C94" s="13" t="str">
        <f>" ="&amp;FIXED(B128,3,TRUE)</f>
        <v> =42.300</v>
      </c>
      <c r="D94" s="13"/>
      <c r="E94" s="13"/>
      <c r="F94" s="13"/>
      <c r="G94" s="13"/>
      <c r="H94" s="13"/>
      <c r="I94" s="14"/>
    </row>
    <row r="95" spans="2:9" ht="13.5">
      <c r="B95" s="12"/>
      <c r="C95" s="13" t="s">
        <v>15</v>
      </c>
      <c r="D95" s="13"/>
      <c r="E95" s="13"/>
      <c r="F95" s="13"/>
      <c r="G95" s="13"/>
      <c r="H95" s="13"/>
      <c r="I95" s="14"/>
    </row>
    <row r="96" spans="2:9" ht="13.5">
      <c r="B96" s="12"/>
      <c r="C96" s="13" t="str">
        <f>" =("&amp;FIXED(B127,3,TRUE)&amp;"/2)*(1-"&amp;FIXED(B127,3,TRUE)&amp;"/3)"</f>
        <v> =(0.423/2)*(1-0.423/3)</v>
      </c>
      <c r="D96" s="13"/>
      <c r="E96" s="13"/>
      <c r="F96" s="13"/>
      <c r="G96" s="13"/>
      <c r="H96" s="13"/>
      <c r="I96" s="14"/>
    </row>
    <row r="97" spans="2:9" ht="13.5">
      <c r="B97" s="12"/>
      <c r="C97" s="13" t="str">
        <f>" +("&amp;FIXED('入力'!C66,0,TRUE)&amp;"*"&amp;FIXED(B126,4,TRUE)&amp;"/"&amp;FIXED(B127,3,TRUE)&amp;")*("&amp;FIXED(B127,3,TRUE)&amp;"-"&amp;FIXED('入力'!E24,2,TRUE)&amp;"/"&amp;FIXED('入力'!E21,2,TRUE)&amp;")*(1-"&amp;FIXED('入力'!E24,2,TRUE)&amp;"/"&amp;FIXED('入力'!E21,2,TRUE)&amp;")"</f>
        <v> +(15*0.0000/0.423)*(0.423-0.00/100.00)*(1-0.00/100.00)</v>
      </c>
      <c r="D97" s="13"/>
      <c r="E97" s="13"/>
      <c r="F97" s="13"/>
      <c r="G97" s="13"/>
      <c r="H97" s="13"/>
      <c r="I97" s="14"/>
    </row>
    <row r="98" spans="2:9" ht="13.5">
      <c r="B98" s="12"/>
      <c r="C98" s="13" t="str">
        <f>" ="&amp;FIXED(B129,3,TRUE)</f>
        <v> =0.182</v>
      </c>
      <c r="D98" s="13"/>
      <c r="E98" s="13"/>
      <c r="F98" s="13"/>
      <c r="G98" s="13"/>
      <c r="H98" s="13"/>
      <c r="I98" s="14"/>
    </row>
    <row r="99" spans="2:9" ht="13.5">
      <c r="B99" s="12"/>
      <c r="C99" s="13"/>
      <c r="D99" s="13"/>
      <c r="E99" s="13"/>
      <c r="F99" s="13"/>
      <c r="G99" s="13"/>
      <c r="H99" s="13"/>
      <c r="I99" s="14"/>
    </row>
    <row r="100" spans="2:9" ht="13.5">
      <c r="B100" s="12"/>
      <c r="C100" s="17" t="s">
        <v>16</v>
      </c>
      <c r="D100" s="13"/>
      <c r="E100" s="13"/>
      <c r="F100" s="13"/>
      <c r="G100" s="13"/>
      <c r="H100" s="13"/>
      <c r="I100" s="14"/>
    </row>
    <row r="101" spans="2:9" ht="13.5">
      <c r="B101" s="12"/>
      <c r="C101" s="13" t="s">
        <v>17</v>
      </c>
      <c r="D101" s="13"/>
      <c r="E101" s="13"/>
      <c r="F101" s="13"/>
      <c r="G101" s="13"/>
      <c r="H101" s="13"/>
      <c r="I101" s="14"/>
    </row>
    <row r="102" spans="2:9" ht="13.5">
      <c r="B102" s="12"/>
      <c r="C102" s="13" t="str">
        <f>"  ="&amp;FIXED('入力'!E32,3,TRUE)&amp;"*1000*1000/("&amp;FIXED('入力'!E18,2,TRUE)&amp;"*"&amp;FIXED('入力'!E21,2,TRUE)&amp;"^2*"&amp;FIXED(B129,3,TRUE)&amp;")"</f>
        <v>  =11.346*1000*1000/(1150.00*100.00^2*0.182)</v>
      </c>
      <c r="D102" s="13"/>
      <c r="E102" s="13"/>
      <c r="F102" s="13"/>
      <c r="G102" s="13"/>
      <c r="H102" s="13"/>
      <c r="I102" s="14"/>
    </row>
    <row r="103" spans="2:9" ht="13.5">
      <c r="B103" s="12"/>
      <c r="C103" s="13" t="str">
        <f>"  ="&amp;FIXED(B131,3,TRUE)</f>
        <v>  =5.421</v>
      </c>
      <c r="D103" s="13"/>
      <c r="E103" s="13" t="str">
        <f>IF(B131&lt;F103,"&lt;","&gt;")</f>
        <v>&lt;</v>
      </c>
      <c r="F103" s="47">
        <f>'入力'!E27</f>
        <v>7</v>
      </c>
      <c r="G103" s="13" t="s">
        <v>51</v>
      </c>
      <c r="H103" s="13" t="str">
        <f>IF(B131&lt;F103,"OK","OUT")</f>
        <v>OK</v>
      </c>
      <c r="I103" s="14"/>
    </row>
    <row r="104" spans="2:9" ht="13.5">
      <c r="B104" s="12"/>
      <c r="C104" s="13"/>
      <c r="D104" s="13"/>
      <c r="E104" s="13"/>
      <c r="F104" s="13"/>
      <c r="G104" s="13"/>
      <c r="H104" s="13"/>
      <c r="I104" s="14"/>
    </row>
    <row r="105" spans="2:9" ht="13.5">
      <c r="B105" s="12"/>
      <c r="C105" s="13" t="s">
        <v>18</v>
      </c>
      <c r="D105" s="13"/>
      <c r="E105" s="13"/>
      <c r="F105" s="13"/>
      <c r="G105" s="13"/>
      <c r="H105" s="13"/>
      <c r="I105" s="14"/>
    </row>
    <row r="106" spans="2:9" ht="13.5">
      <c r="B106" s="12"/>
      <c r="C106" s="13" t="str">
        <f>"  ="&amp;FIXED('入力'!C66,0,TRUE)&amp;"*"&amp;FIXED(B131,3,TRUE)&amp;"*(1-"&amp;FIXED(B127,3,TRUE)&amp;")/"&amp;FIXED(B127,3,TRUE)</f>
        <v>  =15*5.421*(1-0.423)/0.423</v>
      </c>
      <c r="D106" s="13"/>
      <c r="E106" s="13"/>
      <c r="F106" s="13"/>
      <c r="G106" s="13"/>
      <c r="H106" s="13"/>
      <c r="I106" s="14"/>
    </row>
    <row r="107" spans="2:9" ht="13.5">
      <c r="B107" s="12"/>
      <c r="C107" s="13" t="str">
        <f>"  ="&amp;FIXED(B132,3,TRUE)</f>
        <v>  =110.919</v>
      </c>
      <c r="D107" s="13"/>
      <c r="E107" s="13" t="str">
        <f>IF(B132&lt;F107,"&lt;","&gt;")</f>
        <v>&lt;</v>
      </c>
      <c r="F107" s="47">
        <f>'入力'!E26</f>
        <v>180</v>
      </c>
      <c r="G107" s="13" t="s">
        <v>51</v>
      </c>
      <c r="H107" s="13" t="str">
        <f>IF(B132&lt;F107,"OK","OUT")</f>
        <v>OK</v>
      </c>
      <c r="I107" s="14"/>
    </row>
    <row r="108" spans="2:9" ht="13.5">
      <c r="B108" s="12"/>
      <c r="C108" s="13" t="s">
        <v>26</v>
      </c>
      <c r="D108" s="13"/>
      <c r="E108" s="13"/>
      <c r="F108" s="13"/>
      <c r="G108" s="13"/>
      <c r="H108" s="13"/>
      <c r="I108" s="14"/>
    </row>
    <row r="109" spans="2:9" ht="13.5">
      <c r="B109" s="12"/>
      <c r="C109" s="13">
        <f>IF('入力'!E23=0,"","σs'=Nσc(1-d'/Kd)")</f>
      </c>
      <c r="D109" s="13"/>
      <c r="E109" s="13"/>
      <c r="F109" s="13"/>
      <c r="G109" s="13"/>
      <c r="H109" s="13"/>
      <c r="I109" s="14"/>
    </row>
    <row r="110" spans="2:9" ht="13.5">
      <c r="B110" s="12"/>
      <c r="C110" s="13">
        <f>IF('入力'!E23=0,"",+"  ="&amp;FIXED('入力'!C66,0,TRUE)&amp;"*"&amp;FIXED(B131,3,TRUE)&amp;"*(1-"&amp;FIXED('入力'!E24,2,TRUE)&amp;"/"&amp;FIXED(B127,3,TRUE)&amp;"*"&amp;FIXED('入力'!E21,2,TRUE)&amp;")")</f>
      </c>
      <c r="D110" s="13"/>
      <c r="E110" s="13"/>
      <c r="F110" s="13"/>
      <c r="G110" s="13"/>
      <c r="H110" s="13"/>
      <c r="I110" s="14"/>
    </row>
    <row r="111" spans="2:9" ht="13.5">
      <c r="B111" s="12"/>
      <c r="C111" s="6">
        <f>IF('入力'!E23=0,"",+"  ="&amp;FIXED(B133,2,TRUE)&amp;" N/m㎡")</f>
      </c>
      <c r="D111" s="13"/>
      <c r="E111" s="13">
        <f>IF('入力'!E23=0,"",IF(B133&lt;F111,"&lt;","&gt;"))</f>
      </c>
      <c r="F111" s="48">
        <f>IF('入力'!E23=0,"",'入力'!E26)</f>
      </c>
      <c r="G111" s="13">
        <f>IF('入力'!E23=0,"","N/m㎡")</f>
      </c>
      <c r="H111" s="13">
        <f>IF('入力'!E23=0,"",IF(B133&lt;F111,"OK","OUT"))</f>
      </c>
      <c r="I111" s="14"/>
    </row>
    <row r="112" spans="2:9" ht="13.5">
      <c r="B112" s="12"/>
      <c r="C112" s="13"/>
      <c r="D112" s="13"/>
      <c r="E112" s="13"/>
      <c r="F112" s="13"/>
      <c r="G112" s="13"/>
      <c r="H112" s="13"/>
      <c r="I112" s="14"/>
    </row>
    <row r="113" spans="2:9" ht="13.5">
      <c r="B113" s="12"/>
      <c r="C113" s="13" t="s">
        <v>19</v>
      </c>
      <c r="D113" s="13"/>
      <c r="E113" s="13"/>
      <c r="F113" s="13"/>
      <c r="G113" s="13"/>
      <c r="H113" s="13"/>
      <c r="I113" s="14"/>
    </row>
    <row r="114" spans="2:9" ht="13.5">
      <c r="B114" s="12"/>
      <c r="C114" s="13" t="str">
        <f>"  ="&amp;FIXED('入力'!E33,3,TRUE)&amp;"*1000/("&amp;FIXED('入力'!E18,2,TRUE)&amp;"*"&amp;FIXED('入力'!E21,2,TRUE)&amp;")"</f>
        <v>  =17.456*1000/(1150.00*100.00)</v>
      </c>
      <c r="D114" s="13"/>
      <c r="E114" s="13"/>
      <c r="F114" s="13"/>
      <c r="G114" s="13"/>
      <c r="H114" s="13"/>
      <c r="I114" s="14"/>
    </row>
    <row r="115" spans="2:9" ht="13.5">
      <c r="B115" s="12"/>
      <c r="C115" s="13" t="str">
        <f>"  ="&amp;FIXED(B134,3,TRUE)</f>
        <v>  =0.152</v>
      </c>
      <c r="D115" s="13"/>
      <c r="E115" s="13" t="str">
        <f>IF(B134&lt;F115,"&lt;","&gt;")</f>
        <v>&lt;</v>
      </c>
      <c r="F115" s="22">
        <f>'入力'!E28</f>
        <v>0.36</v>
      </c>
      <c r="G115" s="13" t="s">
        <v>51</v>
      </c>
      <c r="H115" s="13" t="str">
        <f>IF(B134&lt;F115,"OK","OUT")</f>
        <v>OK</v>
      </c>
      <c r="I115" s="14"/>
    </row>
    <row r="116" spans="2:9" ht="13.5">
      <c r="B116" s="12"/>
      <c r="C116" s="13"/>
      <c r="D116" s="13"/>
      <c r="E116" s="13"/>
      <c r="F116" s="13"/>
      <c r="G116" s="13"/>
      <c r="H116" s="13"/>
      <c r="I116" s="14"/>
    </row>
    <row r="117" spans="2:9" ht="13.5">
      <c r="B117" s="12"/>
      <c r="C117" s="13" t="s">
        <v>27</v>
      </c>
      <c r="D117" s="13"/>
      <c r="E117" s="13"/>
      <c r="F117" s="13"/>
      <c r="G117" s="13"/>
      <c r="H117" s="13"/>
      <c r="I117" s="14"/>
    </row>
    <row r="118" spans="2:9" ht="13.5">
      <c r="B118" s="12"/>
      <c r="C118" s="13" t="str">
        <f>"   =1.15*"&amp;FIXED('入力'!E33,3,TRUE)&amp;"*1000/("&amp;FIXED('入力'!E20,0,TRUE)&amp;"*"&amp;FIXED(B130,3,TRUE)&amp;"*"&amp;FIXED('入力'!E21,1,TRUE)&amp;")"</f>
        <v>   =1.15*17.456*1000/(6*50.000*100.0)</v>
      </c>
      <c r="D118" s="13"/>
      <c r="E118" s="13"/>
      <c r="F118" s="13"/>
      <c r="G118" s="13"/>
      <c r="H118" s="13"/>
      <c r="I118" s="14"/>
    </row>
    <row r="119" spans="2:9" ht="13.5">
      <c r="B119" s="12"/>
      <c r="C119" s="13" t="str">
        <f>"   ="&amp;FIXED(B135,3,TRUE)</f>
        <v>   =0.669</v>
      </c>
      <c r="D119" s="13"/>
      <c r="E119" s="13" t="str">
        <f>IF(B135&lt;F119,"&lt;","&gt;")</f>
        <v>&lt;</v>
      </c>
      <c r="F119" s="22">
        <f>'入力'!E29</f>
        <v>1.6</v>
      </c>
      <c r="G119" s="13" t="s">
        <v>51</v>
      </c>
      <c r="H119" s="13" t="str">
        <f>IF(B135&lt;F119,"OK","OUT")</f>
        <v>OK</v>
      </c>
      <c r="I119" s="14"/>
    </row>
    <row r="120" spans="2:9" ht="13.5">
      <c r="B120" s="12"/>
      <c r="C120" s="13"/>
      <c r="D120" s="13"/>
      <c r="E120" s="13"/>
      <c r="F120" s="22"/>
      <c r="G120" s="13"/>
      <c r="H120" s="13"/>
      <c r="I120" s="14"/>
    </row>
    <row r="121" spans="2:9" ht="13.5">
      <c r="B121" s="12"/>
      <c r="C121" s="13"/>
      <c r="D121" s="13"/>
      <c r="E121" s="13"/>
      <c r="F121" s="13"/>
      <c r="G121" s="13"/>
      <c r="H121" s="13"/>
      <c r="I121" s="14"/>
    </row>
    <row r="122" spans="2:9" ht="14.25" thickBot="1">
      <c r="B122" s="18"/>
      <c r="C122" s="19"/>
      <c r="D122" s="19"/>
      <c r="E122" s="19"/>
      <c r="F122" s="19"/>
      <c r="G122" s="19"/>
      <c r="H122" s="19"/>
      <c r="I122" s="20"/>
    </row>
    <row r="125" spans="1:2" ht="13.5">
      <c r="A125" s="1" t="s">
        <v>115</v>
      </c>
      <c r="B125" s="64">
        <f>ROUND('入力'!$G$37/'入力'!$E$18/'入力'!$E$21,5)</f>
        <v>0.01036</v>
      </c>
    </row>
    <row r="126" spans="1:2" ht="13.5">
      <c r="A126" s="1" t="s">
        <v>116</v>
      </c>
      <c r="B126" s="24">
        <f>ROUND('入力'!$G$40/'入力'!$E$18/'入力'!$E$21,4)</f>
        <v>0</v>
      </c>
    </row>
    <row r="127" spans="1:2" ht="13.5">
      <c r="A127" s="1" t="s">
        <v>114</v>
      </c>
      <c r="B127" s="65">
        <f>ROUND(SQRT(2*'入力'!C66*(B125+B126*('入力'!E24/'入力'!E21))+'入力'!C66*'入力'!C66*(B125+B126)^2)-'入力'!C66*(B125+B126),3)</f>
        <v>0.423</v>
      </c>
    </row>
    <row r="128" spans="1:2" ht="13.5">
      <c r="A128" s="1" t="s">
        <v>113</v>
      </c>
      <c r="B128" s="65">
        <f>ROUND(B127*'入力'!E21,3)</f>
        <v>42.3</v>
      </c>
    </row>
    <row r="129" spans="1:2" ht="13.5">
      <c r="A129" s="1" t="s">
        <v>112</v>
      </c>
      <c r="B129" s="24">
        <f>ROUND((B127/2)*(1-B127/3)+('入力'!C66*B126/B127)*(B127-'入力'!E24/'入力'!E21)*(1-'入力'!E24/'入力'!E21),3)</f>
        <v>0.182</v>
      </c>
    </row>
    <row r="130" spans="1:2" ht="13.5">
      <c r="A130" s="1" t="s">
        <v>117</v>
      </c>
      <c r="B130" s="66">
        <f>VLOOKUP('入力'!E19,'入力'!B68:D81,3)</f>
        <v>50</v>
      </c>
    </row>
    <row r="131" spans="1:2" ht="13.5">
      <c r="A131" s="1" t="s">
        <v>111</v>
      </c>
      <c r="B131" s="24">
        <f>ROUND('入力'!E32*1000*1000/('入力'!E18*'入力'!E21^2*B129),3)</f>
        <v>5.421</v>
      </c>
    </row>
    <row r="132" spans="1:2" ht="13.5">
      <c r="A132" s="1" t="s">
        <v>110</v>
      </c>
      <c r="B132" s="24">
        <f>ROUND('入力'!C66*B131*(1-B127)/B127,3)</f>
        <v>110.919</v>
      </c>
    </row>
    <row r="133" spans="1:2" ht="13.5">
      <c r="A133" s="1" t="s">
        <v>109</v>
      </c>
      <c r="B133" s="24">
        <f>ROUND('入力'!C66*B131*(1-'入力'!E24/(B127*'入力'!E21)),3)</f>
        <v>81.315</v>
      </c>
    </row>
    <row r="134" spans="1:2" ht="13.5">
      <c r="A134" s="1" t="s">
        <v>107</v>
      </c>
      <c r="B134" s="24">
        <f>ROUND('入力'!E33*1000/'入力'!E18/'入力'!E21,3)</f>
        <v>0.152</v>
      </c>
    </row>
    <row r="135" spans="1:2" ht="13.5">
      <c r="A135" s="1" t="s">
        <v>108</v>
      </c>
      <c r="B135" s="24">
        <f>ROUND(1.15*'入力'!E33*1000/(VLOOKUP('入力'!E19,'入力'!B69:D81,3)*'入力'!E20*'入力'!E21),3)</f>
        <v>0.669</v>
      </c>
    </row>
  </sheetData>
  <sheetProtection sheet="1" objects="1" scenarios="1"/>
  <printOptions horizontalCentered="1" verticalCentered="1"/>
  <pageMargins left="0.7874015748031497" right="0.5118110236220472" top="0.5118110236220472" bottom="0.5118110236220472" header="0" footer="0"/>
  <pageSetup fitToHeight="2" horizontalDpi="300" verticalDpi="300" orientation="portrait" paperSize="9" scale="90" r:id="rId8"/>
  <rowBreaks count="1" manualBreakCount="1">
    <brk id="63" min="1" max="8" man="1"/>
  </rowBreaks>
  <drawing r:id="rId7"/>
  <legacyDrawing r:id="rId6"/>
  <oleObjects>
    <oleObject progId="Equation.3" shapeId="682060" r:id="rId1"/>
    <oleObject progId="Equation.3" shapeId="712280" r:id="rId2"/>
    <oleObject progId="Equation.3" shapeId="724085" r:id="rId3"/>
    <oleObject progId="Equation.3" shapeId="759110" r:id="rId4"/>
    <oleObject progId="AutoCAD LT.Drawing.16" shapeId="562225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nsts4012</cp:lastModifiedBy>
  <cp:lastPrinted>2007-03-02T01:22:40Z</cp:lastPrinted>
  <dcterms:created xsi:type="dcterms:W3CDTF">1999-07-17T03:56:09Z</dcterms:created>
  <dcterms:modified xsi:type="dcterms:W3CDTF">2007-03-02T01:27:32Z</dcterms:modified>
  <cp:category/>
  <cp:version/>
  <cp:contentType/>
  <cp:contentStatus/>
</cp:coreProperties>
</file>