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12000"/>
  </bookViews>
  <sheets>
    <sheet name="条件" sheetId="1" r:id="rId1"/>
    <sheet name="計算" sheetId="2" r:id="rId2"/>
    <sheet name="数値表" sheetId="3" r:id="rId3"/>
    <sheet name="図化" sheetId="4" r:id="rId4"/>
  </sheets>
  <definedNames>
    <definedName name="_xlnm.Print_Area" localSheetId="1">計算!$A$1:$H$204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7" i="2" l="1"/>
  <c r="S187" i="2"/>
  <c r="R188" i="2"/>
  <c r="S188" i="2"/>
  <c r="R189" i="2"/>
  <c r="S189" i="2"/>
  <c r="R190" i="2"/>
  <c r="S190" i="2"/>
  <c r="R191" i="2"/>
  <c r="S191" i="2"/>
  <c r="R192" i="2"/>
  <c r="S192" i="2"/>
  <c r="R193" i="2"/>
  <c r="S193" i="2"/>
  <c r="R194" i="2"/>
  <c r="S194" i="2"/>
  <c r="R195" i="2"/>
  <c r="S195" i="2"/>
  <c r="R196" i="2"/>
  <c r="S196" i="2"/>
  <c r="R197" i="2"/>
  <c r="S197" i="2"/>
  <c r="R198" i="2"/>
  <c r="S198" i="2"/>
  <c r="R199" i="2"/>
  <c r="S199" i="2"/>
  <c r="R200" i="2"/>
  <c r="S200" i="2"/>
  <c r="R201" i="2"/>
  <c r="S201" i="2"/>
  <c r="R202" i="2"/>
  <c r="S202" i="2"/>
  <c r="R203" i="2"/>
  <c r="S203" i="2"/>
  <c r="R204" i="2"/>
  <c r="S204" i="2"/>
  <c r="R205" i="2"/>
  <c r="S205" i="2"/>
  <c r="R206" i="2"/>
  <c r="S206" i="2"/>
  <c r="S186" i="2"/>
  <c r="R186" i="2"/>
  <c r="R165" i="2"/>
  <c r="S165" i="2"/>
  <c r="R166" i="2"/>
  <c r="S166" i="2"/>
  <c r="R167" i="2"/>
  <c r="S167" i="2"/>
  <c r="R168" i="2"/>
  <c r="S168" i="2"/>
  <c r="R169" i="2"/>
  <c r="S169" i="2"/>
  <c r="R170" i="2"/>
  <c r="S170" i="2"/>
  <c r="R171" i="2"/>
  <c r="S171" i="2"/>
  <c r="R172" i="2"/>
  <c r="S172" i="2"/>
  <c r="R173" i="2"/>
  <c r="S173" i="2"/>
  <c r="R174" i="2"/>
  <c r="S174" i="2"/>
  <c r="R175" i="2"/>
  <c r="S175" i="2"/>
  <c r="R176" i="2"/>
  <c r="S176" i="2"/>
  <c r="R177" i="2"/>
  <c r="S177" i="2"/>
  <c r="R178" i="2"/>
  <c r="S178" i="2"/>
  <c r="R179" i="2"/>
  <c r="S179" i="2"/>
  <c r="R180" i="2"/>
  <c r="S180" i="2"/>
  <c r="R181" i="2"/>
  <c r="S181" i="2"/>
  <c r="R182" i="2"/>
  <c r="S182" i="2"/>
  <c r="R183" i="2"/>
  <c r="S183" i="2"/>
  <c r="R184" i="2"/>
  <c r="S184" i="2"/>
  <c r="S164" i="2"/>
  <c r="R164" i="2"/>
  <c r="R143" i="2"/>
  <c r="S143" i="2"/>
  <c r="R144" i="2"/>
  <c r="S144" i="2"/>
  <c r="R145" i="2"/>
  <c r="S145" i="2"/>
  <c r="R146" i="2"/>
  <c r="S146" i="2"/>
  <c r="R147" i="2"/>
  <c r="S147" i="2"/>
  <c r="R148" i="2"/>
  <c r="S148" i="2"/>
  <c r="R149" i="2"/>
  <c r="S149" i="2"/>
  <c r="R150" i="2"/>
  <c r="S150" i="2"/>
  <c r="R151" i="2"/>
  <c r="S151" i="2"/>
  <c r="R152" i="2"/>
  <c r="S152" i="2"/>
  <c r="R153" i="2"/>
  <c r="S153" i="2"/>
  <c r="R154" i="2"/>
  <c r="S154" i="2"/>
  <c r="R155" i="2"/>
  <c r="S155" i="2"/>
  <c r="R156" i="2"/>
  <c r="S156" i="2"/>
  <c r="R157" i="2"/>
  <c r="S157" i="2"/>
  <c r="R158" i="2"/>
  <c r="S158" i="2"/>
  <c r="R159" i="2"/>
  <c r="S159" i="2"/>
  <c r="R160" i="2"/>
  <c r="S160" i="2"/>
  <c r="R161" i="2"/>
  <c r="S161" i="2"/>
  <c r="R162" i="2"/>
  <c r="S162" i="2"/>
  <c r="S142" i="2"/>
  <c r="R142" i="2"/>
  <c r="B47" i="2" l="1"/>
  <c r="B48" i="2"/>
  <c r="D48" i="2"/>
  <c r="F48" i="2"/>
  <c r="B49" i="2"/>
  <c r="D49" i="2"/>
  <c r="E49" i="2"/>
  <c r="F49" i="2"/>
  <c r="R138" i="2" l="1"/>
  <c r="N137" i="2" l="1"/>
  <c r="E56" i="1" l="1"/>
  <c r="D2" i="4"/>
  <c r="D50" i="1"/>
  <c r="E101" i="2" s="1"/>
  <c r="D3" i="4" l="1"/>
  <c r="C60" i="1" l="1"/>
  <c r="G59" i="1"/>
  <c r="C59" i="1"/>
  <c r="C58" i="1"/>
  <c r="C57" i="1"/>
  <c r="G54" i="1"/>
  <c r="D19" i="4"/>
  <c r="C19" i="4"/>
  <c r="C20" i="4" s="1"/>
  <c r="C17" i="4"/>
  <c r="C18" i="4" s="1"/>
  <c r="D17" i="4"/>
  <c r="D20" i="4" s="1"/>
  <c r="C11" i="4"/>
  <c r="C10" i="4"/>
  <c r="C8" i="4"/>
  <c r="C9" i="4"/>
  <c r="D7" i="4"/>
  <c r="D8" i="4" s="1"/>
  <c r="D10" i="4" s="1"/>
  <c r="D12" i="4"/>
  <c r="D15" i="4" s="1"/>
  <c r="C12" i="4"/>
  <c r="C16" i="4" s="1"/>
  <c r="D5" i="4"/>
  <c r="D6" i="4"/>
  <c r="C2" i="4"/>
  <c r="C3" i="4" s="1"/>
  <c r="C4" i="4" s="1"/>
  <c r="C5" i="4" s="1"/>
  <c r="D4" i="4"/>
  <c r="D16" i="4" l="1"/>
  <c r="D21" i="4"/>
  <c r="D13" i="4"/>
  <c r="D14" i="4" s="1"/>
  <c r="D9" i="4"/>
  <c r="C21" i="4"/>
  <c r="D11" i="4"/>
  <c r="C6" i="4"/>
  <c r="C13" i="4"/>
  <c r="C14" i="4" s="1"/>
  <c r="C15" i="4" s="1"/>
  <c r="E20" i="2"/>
  <c r="E21" i="2"/>
  <c r="D20" i="2"/>
  <c r="E130" i="2" s="1"/>
  <c r="N128" i="2" s="1"/>
  <c r="N129" i="2" s="1"/>
  <c r="D21" i="2"/>
  <c r="C20" i="2"/>
  <c r="C21" i="2"/>
  <c r="B20" i="2"/>
  <c r="B21" i="2"/>
  <c r="A7" i="2"/>
  <c r="A6" i="2"/>
  <c r="B22" i="2"/>
  <c r="C22" i="2"/>
  <c r="E22" i="2"/>
  <c r="E160" i="2"/>
  <c r="E156" i="2" s="1"/>
  <c r="E131" i="2" l="1"/>
  <c r="N132" i="2" s="1"/>
  <c r="C103" i="2"/>
  <c r="E144" i="2"/>
  <c r="E140" i="2" s="1"/>
  <c r="D64" i="2" l="1"/>
  <c r="F3" i="3"/>
  <c r="A1" i="2" l="1"/>
  <c r="A3" i="2"/>
  <c r="A4" i="2"/>
  <c r="A5" i="2"/>
  <c r="A9" i="2"/>
  <c r="A10" i="2"/>
  <c r="B11" i="2"/>
  <c r="C11" i="2"/>
  <c r="D11" i="2"/>
  <c r="E11" i="2"/>
  <c r="B14" i="2"/>
  <c r="C14" i="2"/>
  <c r="D14" i="2"/>
  <c r="E14" i="2"/>
  <c r="B15" i="2"/>
  <c r="C15" i="2"/>
  <c r="D15" i="2"/>
  <c r="E15" i="2"/>
  <c r="B16" i="2"/>
  <c r="C16" i="2"/>
  <c r="D16" i="2"/>
  <c r="E84" i="2" s="1"/>
  <c r="E16" i="2"/>
  <c r="B18" i="2"/>
  <c r="B19" i="2"/>
  <c r="C19" i="2"/>
  <c r="D19" i="2"/>
  <c r="E129" i="2" s="1"/>
  <c r="N130" i="2" s="1"/>
  <c r="E19" i="2"/>
  <c r="E147" i="2"/>
  <c r="A24" i="2"/>
  <c r="B25" i="2"/>
  <c r="C25" i="2"/>
  <c r="D25" i="2"/>
  <c r="E25" i="2"/>
  <c r="C26" i="2"/>
  <c r="D26" i="2"/>
  <c r="E26" i="2"/>
  <c r="A28" i="2"/>
  <c r="B29" i="2"/>
  <c r="B63" i="2" s="1"/>
  <c r="D29" i="2"/>
  <c r="D63" i="2" s="1"/>
  <c r="E29" i="2"/>
  <c r="E63" i="2" s="1"/>
  <c r="B30" i="2"/>
  <c r="B65" i="2" s="1"/>
  <c r="C30" i="2"/>
  <c r="C65" i="2" s="1"/>
  <c r="D30" i="2"/>
  <c r="D65" i="2" s="1"/>
  <c r="C31" i="2"/>
  <c r="C66" i="2" s="1"/>
  <c r="D31" i="2"/>
  <c r="D66" i="2" s="1"/>
  <c r="A33" i="2"/>
  <c r="B34" i="2"/>
  <c r="C34" i="2"/>
  <c r="D34" i="2"/>
  <c r="N133" i="2" s="1"/>
  <c r="E34" i="2"/>
  <c r="B35" i="2"/>
  <c r="C35" i="2"/>
  <c r="D35" i="2"/>
  <c r="E35" i="2"/>
  <c r="B36" i="2"/>
  <c r="D36" i="2"/>
  <c r="B37" i="2"/>
  <c r="C37" i="2"/>
  <c r="D37" i="2"/>
  <c r="B38" i="2"/>
  <c r="D38" i="2"/>
  <c r="E38" i="2"/>
  <c r="A40" i="2"/>
  <c r="B41" i="2"/>
  <c r="D41" i="2"/>
  <c r="E41" i="2"/>
  <c r="B42" i="2"/>
  <c r="D42" i="2"/>
  <c r="E42" i="2"/>
  <c r="F42" i="2"/>
  <c r="B43" i="2"/>
  <c r="D43" i="2"/>
  <c r="E43" i="2"/>
  <c r="F43" i="2"/>
  <c r="B44" i="2"/>
  <c r="D44" i="2"/>
  <c r="K93" i="2" s="1"/>
  <c r="E44" i="2"/>
  <c r="F44" i="2"/>
  <c r="B45" i="2"/>
  <c r="D45" i="2"/>
  <c r="E45" i="2"/>
  <c r="F45" i="2"/>
  <c r="B46" i="2"/>
  <c r="D46" i="2"/>
  <c r="E46" i="2"/>
  <c r="F46" i="2"/>
  <c r="N142" i="2" l="1"/>
  <c r="N134" i="2"/>
  <c r="N131" i="2"/>
  <c r="R134" i="2" s="1"/>
  <c r="R137" i="2" s="1"/>
  <c r="E174" i="2"/>
  <c r="E146" i="2"/>
  <c r="E148" i="2" s="1"/>
  <c r="E149" i="2" s="1"/>
  <c r="E164" i="2"/>
  <c r="E162" i="2" s="1"/>
  <c r="E152" i="2" s="1"/>
  <c r="N136" i="2" s="1"/>
  <c r="E169" i="2"/>
  <c r="E83" i="2"/>
  <c r="E82" i="2"/>
  <c r="E60" i="2"/>
  <c r="E61" i="2"/>
  <c r="E75" i="2" s="1"/>
  <c r="M55" i="2"/>
  <c r="B55" i="2"/>
  <c r="L55" i="2"/>
  <c r="D55" i="2"/>
  <c r="C55" i="2" s="1"/>
  <c r="Q142" i="2" l="1"/>
  <c r="R139" i="2"/>
  <c r="E135" i="2"/>
  <c r="N135" i="2" s="1"/>
  <c r="E74" i="2"/>
  <c r="E73" i="2"/>
  <c r="P55" i="2"/>
  <c r="Q55" i="2"/>
  <c r="N55" i="2"/>
  <c r="O55" i="2"/>
  <c r="T142" i="2" l="1"/>
  <c r="Q143" i="2"/>
  <c r="N141" i="2"/>
  <c r="N140" i="2"/>
  <c r="E192" i="2"/>
  <c r="E59" i="1" s="1"/>
  <c r="E177" i="2"/>
  <c r="E176" i="2"/>
  <c r="E81" i="2"/>
  <c r="N138" i="2" s="1"/>
  <c r="E76" i="2"/>
  <c r="N139" i="2" s="1"/>
  <c r="AC55" i="2"/>
  <c r="AD55" i="2" s="1"/>
  <c r="AB55" i="2"/>
  <c r="AE55" i="2" s="1"/>
  <c r="X55" i="2"/>
  <c r="Y55" i="2" s="1"/>
  <c r="W55" i="2"/>
  <c r="Z55" i="2" s="1"/>
  <c r="S55" i="2"/>
  <c r="T55" i="2" s="1"/>
  <c r="R55" i="2"/>
  <c r="U55" i="2" s="1"/>
  <c r="AH55" i="2"/>
  <c r="AI55" i="2" s="1"/>
  <c r="AG55" i="2"/>
  <c r="AJ55" i="2" s="1"/>
  <c r="Q144" i="2" l="1"/>
  <c r="T143" i="2"/>
  <c r="U143" i="2" s="1"/>
  <c r="U142" i="2"/>
  <c r="V142" i="2" s="1"/>
  <c r="W142" i="2" s="1"/>
  <c r="X142" i="2" s="1"/>
  <c r="E86" i="2"/>
  <c r="E100" i="2"/>
  <c r="K91" i="2"/>
  <c r="AA55" i="2"/>
  <c r="F55" i="2" s="1"/>
  <c r="K92" i="2" s="1"/>
  <c r="AF55" i="2"/>
  <c r="G55" i="2" s="1"/>
  <c r="AK55" i="2"/>
  <c r="H55" i="2" s="1"/>
  <c r="V55" i="2"/>
  <c r="E55" i="2" s="1"/>
  <c r="V143" i="2" l="1"/>
  <c r="W143" i="2" s="1"/>
  <c r="X143" i="2" s="1"/>
  <c r="Q145" i="2"/>
  <c r="T144" i="2"/>
  <c r="U144" i="2" s="1"/>
  <c r="F103" i="2"/>
  <c r="G56" i="1" s="1"/>
  <c r="E55" i="1"/>
  <c r="G103" i="2"/>
  <c r="H56" i="1" s="1"/>
  <c r="E103" i="2"/>
  <c r="F56" i="1" s="1"/>
  <c r="E91" i="2"/>
  <c r="D92" i="2" s="1"/>
  <c r="V144" i="2" l="1"/>
  <c r="W144" i="2" s="1"/>
  <c r="X144" i="2" s="1"/>
  <c r="Q146" i="2"/>
  <c r="T145" i="2"/>
  <c r="U145" i="2" s="1"/>
  <c r="V145" i="2" s="1"/>
  <c r="W145" i="2" s="1"/>
  <c r="X145" i="2" s="1"/>
  <c r="G92" i="2"/>
  <c r="H54" i="1" s="1"/>
  <c r="E92" i="2"/>
  <c r="F54" i="1" s="1"/>
  <c r="E53" i="1"/>
  <c r="E54" i="1"/>
  <c r="Q147" i="2" l="1"/>
  <c r="T146" i="2"/>
  <c r="U146" i="2" s="1"/>
  <c r="V146" i="2" l="1"/>
  <c r="W146" i="2" s="1"/>
  <c r="X146" i="2" s="1"/>
  <c r="Q148" i="2"/>
  <c r="T147" i="2"/>
  <c r="U147" i="2" s="1"/>
  <c r="V147" i="2" l="1"/>
  <c r="W147" i="2" s="1"/>
  <c r="X147" i="2" s="1"/>
  <c r="Q149" i="2"/>
  <c r="T148" i="2"/>
  <c r="U148" i="2" s="1"/>
  <c r="V148" i="2" l="1"/>
  <c r="W148" i="2" s="1"/>
  <c r="X148" i="2" s="1"/>
  <c r="Q150" i="2"/>
  <c r="T149" i="2"/>
  <c r="U149" i="2" s="1"/>
  <c r="V149" i="2" l="1"/>
  <c r="W149" i="2" s="1"/>
  <c r="X149" i="2" s="1"/>
  <c r="Q151" i="2"/>
  <c r="T150" i="2"/>
  <c r="U150" i="2" s="1"/>
  <c r="V150" i="2" l="1"/>
  <c r="W150" i="2" s="1"/>
  <c r="X150" i="2" s="1"/>
  <c r="Q152" i="2"/>
  <c r="T151" i="2"/>
  <c r="U151" i="2" s="1"/>
  <c r="V151" i="2" l="1"/>
  <c r="W151" i="2" s="1"/>
  <c r="X151" i="2" s="1"/>
  <c r="Q153" i="2"/>
  <c r="T152" i="2"/>
  <c r="U152" i="2" s="1"/>
  <c r="V152" i="2" l="1"/>
  <c r="W152" i="2" s="1"/>
  <c r="X152" i="2" s="1"/>
  <c r="Q154" i="2"/>
  <c r="T153" i="2"/>
  <c r="U153" i="2" s="1"/>
  <c r="V153" i="2" s="1"/>
  <c r="W153" i="2" s="1"/>
  <c r="X153" i="2" s="1"/>
  <c r="Q155" i="2" l="1"/>
  <c r="T154" i="2"/>
  <c r="U154" i="2" s="1"/>
  <c r="V154" i="2" s="1"/>
  <c r="W154" i="2" s="1"/>
  <c r="X154" i="2" s="1"/>
  <c r="Q156" i="2" l="1"/>
  <c r="T155" i="2"/>
  <c r="U155" i="2" s="1"/>
  <c r="V155" i="2" l="1"/>
  <c r="W155" i="2" s="1"/>
  <c r="X155" i="2" s="1"/>
  <c r="Q157" i="2"/>
  <c r="T156" i="2"/>
  <c r="U156" i="2" s="1"/>
  <c r="V156" i="2" l="1"/>
  <c r="W156" i="2" s="1"/>
  <c r="X156" i="2" s="1"/>
  <c r="Q158" i="2"/>
  <c r="T157" i="2"/>
  <c r="U157" i="2" s="1"/>
  <c r="V157" i="2" s="1"/>
  <c r="W157" i="2" s="1"/>
  <c r="X157" i="2" s="1"/>
  <c r="Q159" i="2" l="1"/>
  <c r="T158" i="2"/>
  <c r="U158" i="2" s="1"/>
  <c r="V158" i="2" s="1"/>
  <c r="W158" i="2" s="1"/>
  <c r="X158" i="2" s="1"/>
  <c r="Q160" i="2" l="1"/>
  <c r="T159" i="2"/>
  <c r="U159" i="2" s="1"/>
  <c r="V159" i="2" s="1"/>
  <c r="W159" i="2" s="1"/>
  <c r="X159" i="2" s="1"/>
  <c r="T160" i="2" l="1"/>
  <c r="U160" i="2" s="1"/>
  <c r="Q161" i="2"/>
  <c r="V160" i="2" l="1"/>
  <c r="W160" i="2" s="1"/>
  <c r="X160" i="2" s="1"/>
  <c r="T161" i="2"/>
  <c r="U161" i="2" s="1"/>
  <c r="V161" i="2" s="1"/>
  <c r="W161" i="2" s="1"/>
  <c r="X161" i="2" s="1"/>
  <c r="Q162" i="2"/>
  <c r="T162" i="2" l="1"/>
  <c r="U162" i="2" s="1"/>
  <c r="V162" i="2" l="1"/>
  <c r="W162" i="2" s="1"/>
  <c r="X162" i="2" s="1"/>
  <c r="P162" i="2" l="1"/>
  <c r="P145" i="2"/>
  <c r="P149" i="2"/>
  <c r="P147" i="2"/>
  <c r="P144" i="2"/>
  <c r="P143" i="2"/>
  <c r="P142" i="2"/>
  <c r="P146" i="2"/>
  <c r="P152" i="2"/>
  <c r="P151" i="2"/>
  <c r="P148" i="2"/>
  <c r="P153" i="2"/>
  <c r="P150" i="2"/>
  <c r="P154" i="2"/>
  <c r="P156" i="2"/>
  <c r="P157" i="2"/>
  <c r="P159" i="2"/>
  <c r="P161" i="2"/>
  <c r="P155" i="2"/>
  <c r="P160" i="2"/>
  <c r="P158" i="2"/>
  <c r="Q164" i="2" l="1"/>
  <c r="S137" i="2"/>
  <c r="S138" i="2"/>
  <c r="S139" i="2" l="1"/>
  <c r="Q165" i="2" s="1"/>
  <c r="Q166" i="2" s="1"/>
  <c r="T164" i="2" l="1"/>
  <c r="U164" i="2" s="1"/>
  <c r="V164" i="2" s="1"/>
  <c r="W164" i="2" s="1"/>
  <c r="X164" i="2" s="1"/>
  <c r="Q167" i="2"/>
  <c r="T166" i="2" l="1"/>
  <c r="U166" i="2" s="1"/>
  <c r="T165" i="2"/>
  <c r="U165" i="2" s="1"/>
  <c r="V165" i="2" s="1"/>
  <c r="W165" i="2" s="1"/>
  <c r="X165" i="2" s="1"/>
  <c r="V166" i="2"/>
  <c r="W166" i="2" s="1"/>
  <c r="X166" i="2" s="1"/>
  <c r="Q168" i="2"/>
  <c r="T167" i="2" l="1"/>
  <c r="U167" i="2" s="1"/>
  <c r="V167" i="2" s="1"/>
  <c r="W167" i="2" s="1"/>
  <c r="X167" i="2" s="1"/>
  <c r="Q169" i="2"/>
  <c r="T168" i="2" l="1"/>
  <c r="U168" i="2" s="1"/>
  <c r="V168" i="2" s="1"/>
  <c r="W168" i="2" s="1"/>
  <c r="X168" i="2" s="1"/>
  <c r="Q170" i="2"/>
  <c r="T169" i="2" l="1"/>
  <c r="U169" i="2" s="1"/>
  <c r="V169" i="2" s="1"/>
  <c r="W169" i="2" s="1"/>
  <c r="X169" i="2" s="1"/>
  <c r="Q171" i="2"/>
  <c r="T170" i="2" l="1"/>
  <c r="U170" i="2" s="1"/>
  <c r="V170" i="2" s="1"/>
  <c r="W170" i="2" s="1"/>
  <c r="X170" i="2" s="1"/>
  <c r="Q172" i="2"/>
  <c r="T171" i="2" l="1"/>
  <c r="U171" i="2" s="1"/>
  <c r="V171" i="2" s="1"/>
  <c r="W171" i="2" s="1"/>
  <c r="X171" i="2" s="1"/>
  <c r="Q173" i="2"/>
  <c r="T172" i="2" l="1"/>
  <c r="U172" i="2" s="1"/>
  <c r="V172" i="2" s="1"/>
  <c r="W172" i="2" s="1"/>
  <c r="X172" i="2" s="1"/>
  <c r="Q174" i="2"/>
  <c r="T173" i="2" l="1"/>
  <c r="U173" i="2" s="1"/>
  <c r="V173" i="2" s="1"/>
  <c r="W173" i="2" s="1"/>
  <c r="X173" i="2" s="1"/>
  <c r="Q175" i="2"/>
  <c r="T174" i="2" l="1"/>
  <c r="U174" i="2" s="1"/>
  <c r="V174" i="2" s="1"/>
  <c r="W174" i="2" s="1"/>
  <c r="X174" i="2" s="1"/>
  <c r="Q176" i="2"/>
  <c r="T175" i="2" l="1"/>
  <c r="U175" i="2" s="1"/>
  <c r="V175" i="2" s="1"/>
  <c r="W175" i="2" s="1"/>
  <c r="X175" i="2" s="1"/>
  <c r="Q177" i="2"/>
  <c r="T176" i="2" l="1"/>
  <c r="U176" i="2" s="1"/>
  <c r="V176" i="2" s="1"/>
  <c r="W176" i="2" s="1"/>
  <c r="X176" i="2" s="1"/>
  <c r="Q178" i="2"/>
  <c r="T177" i="2" l="1"/>
  <c r="U177" i="2" s="1"/>
  <c r="V177" i="2" s="1"/>
  <c r="W177" i="2" s="1"/>
  <c r="X177" i="2" s="1"/>
  <c r="Q179" i="2"/>
  <c r="T178" i="2" l="1"/>
  <c r="U178" i="2" s="1"/>
  <c r="V178" i="2" s="1"/>
  <c r="W178" i="2" s="1"/>
  <c r="X178" i="2" s="1"/>
  <c r="Q180" i="2"/>
  <c r="T179" i="2" l="1"/>
  <c r="U179" i="2" s="1"/>
  <c r="V179" i="2" s="1"/>
  <c r="W179" i="2" s="1"/>
  <c r="X179" i="2" s="1"/>
  <c r="Q181" i="2"/>
  <c r="T180" i="2" l="1"/>
  <c r="U180" i="2" s="1"/>
  <c r="V180" i="2" s="1"/>
  <c r="W180" i="2" s="1"/>
  <c r="X180" i="2" s="1"/>
  <c r="Q182" i="2"/>
  <c r="T181" i="2" l="1"/>
  <c r="U181" i="2" s="1"/>
  <c r="V181" i="2" s="1"/>
  <c r="W181" i="2" s="1"/>
  <c r="X181" i="2" s="1"/>
  <c r="Q183" i="2"/>
  <c r="T182" i="2" l="1"/>
  <c r="U182" i="2" s="1"/>
  <c r="V182" i="2" s="1"/>
  <c r="W182" i="2" s="1"/>
  <c r="X182" i="2" s="1"/>
  <c r="Q184" i="2"/>
  <c r="T183" i="2" l="1"/>
  <c r="U183" i="2" s="1"/>
  <c r="V183" i="2" s="1"/>
  <c r="W183" i="2" s="1"/>
  <c r="X183" i="2" s="1"/>
  <c r="T184" i="2" l="1"/>
  <c r="U184" i="2" s="1"/>
  <c r="V184" i="2" s="1"/>
  <c r="W184" i="2" s="1"/>
  <c r="X184" i="2" s="1"/>
  <c r="P183" i="2" s="1"/>
  <c r="P165" i="2"/>
  <c r="P164" i="2"/>
  <c r="P168" i="2"/>
  <c r="P166" i="2"/>
  <c r="P167" i="2"/>
  <c r="P170" i="2"/>
  <c r="P169" i="2"/>
  <c r="P171" i="2"/>
  <c r="P172" i="2"/>
  <c r="P173" i="2"/>
  <c r="P174" i="2"/>
  <c r="P175" i="2"/>
  <c r="P179" i="2"/>
  <c r="P177" i="2"/>
  <c r="P178" i="2"/>
  <c r="P176" i="2"/>
  <c r="P182" i="2"/>
  <c r="P181" i="2"/>
  <c r="P180" i="2"/>
  <c r="P184" i="2" l="1"/>
  <c r="Q186" i="2"/>
  <c r="T137" i="2"/>
  <c r="T138" i="2"/>
  <c r="T139" i="2" l="1"/>
  <c r="Q187" i="2" s="1"/>
  <c r="T186" i="2" l="1"/>
  <c r="U186" i="2" s="1"/>
  <c r="V186" i="2" s="1"/>
  <c r="W186" i="2" s="1"/>
  <c r="X186" i="2" s="1"/>
  <c r="Q188" i="2"/>
  <c r="Q189" i="2" s="1"/>
  <c r="T188" i="2" l="1"/>
  <c r="U188" i="2" s="1"/>
  <c r="V188" i="2" s="1"/>
  <c r="W188" i="2" s="1"/>
  <c r="X188" i="2" s="1"/>
  <c r="T187" i="2"/>
  <c r="U187" i="2" s="1"/>
  <c r="V187" i="2" s="1"/>
  <c r="W187" i="2" s="1"/>
  <c r="X187" i="2" s="1"/>
  <c r="Q190" i="2"/>
  <c r="T189" i="2" l="1"/>
  <c r="U189" i="2" s="1"/>
  <c r="V189" i="2" s="1"/>
  <c r="W189" i="2" s="1"/>
  <c r="X189" i="2" s="1"/>
  <c r="Q191" i="2"/>
  <c r="T190" i="2" l="1"/>
  <c r="U190" i="2" s="1"/>
  <c r="V190" i="2" s="1"/>
  <c r="W190" i="2" s="1"/>
  <c r="X190" i="2" s="1"/>
  <c r="Q192" i="2"/>
  <c r="T191" i="2" l="1"/>
  <c r="U191" i="2" s="1"/>
  <c r="V191" i="2" s="1"/>
  <c r="W191" i="2" s="1"/>
  <c r="X191" i="2" s="1"/>
  <c r="Q193" i="2"/>
  <c r="T192" i="2" l="1"/>
  <c r="U192" i="2" s="1"/>
  <c r="V192" i="2" s="1"/>
  <c r="W192" i="2" s="1"/>
  <c r="X192" i="2" s="1"/>
  <c r="Q194" i="2"/>
  <c r="T193" i="2" l="1"/>
  <c r="U193" i="2" s="1"/>
  <c r="V193" i="2" s="1"/>
  <c r="W193" i="2" s="1"/>
  <c r="X193" i="2" s="1"/>
  <c r="Q195" i="2"/>
  <c r="T194" i="2" l="1"/>
  <c r="U194" i="2" s="1"/>
  <c r="V194" i="2" s="1"/>
  <c r="W194" i="2" s="1"/>
  <c r="X194" i="2" s="1"/>
  <c r="Q196" i="2"/>
  <c r="T195" i="2" l="1"/>
  <c r="U195" i="2" s="1"/>
  <c r="V195" i="2" s="1"/>
  <c r="W195" i="2" s="1"/>
  <c r="X195" i="2" s="1"/>
  <c r="Q197" i="2"/>
  <c r="T196" i="2" l="1"/>
  <c r="U196" i="2" s="1"/>
  <c r="V196" i="2" s="1"/>
  <c r="W196" i="2" s="1"/>
  <c r="X196" i="2" s="1"/>
  <c r="Q198" i="2"/>
  <c r="T197" i="2" l="1"/>
  <c r="U197" i="2" s="1"/>
  <c r="V197" i="2" s="1"/>
  <c r="W197" i="2" s="1"/>
  <c r="X197" i="2" s="1"/>
  <c r="Q199" i="2"/>
  <c r="T198" i="2" l="1"/>
  <c r="U198" i="2" s="1"/>
  <c r="V198" i="2" s="1"/>
  <c r="W198" i="2" s="1"/>
  <c r="X198" i="2" s="1"/>
  <c r="Q200" i="2"/>
  <c r="T199" i="2" l="1"/>
  <c r="U199" i="2" s="1"/>
  <c r="V199" i="2" s="1"/>
  <c r="W199" i="2" s="1"/>
  <c r="X199" i="2" s="1"/>
  <c r="Q201" i="2"/>
  <c r="T200" i="2" l="1"/>
  <c r="U200" i="2" s="1"/>
  <c r="V200" i="2" s="1"/>
  <c r="W200" i="2" s="1"/>
  <c r="X200" i="2" s="1"/>
  <c r="Q202" i="2"/>
  <c r="T201" i="2" l="1"/>
  <c r="U201" i="2" s="1"/>
  <c r="V201" i="2" s="1"/>
  <c r="W201" i="2" s="1"/>
  <c r="X201" i="2" s="1"/>
  <c r="Q203" i="2"/>
  <c r="T202" i="2" l="1"/>
  <c r="U202" i="2" s="1"/>
  <c r="V202" i="2" s="1"/>
  <c r="W202" i="2" s="1"/>
  <c r="X202" i="2" s="1"/>
  <c r="Q204" i="2"/>
  <c r="T203" i="2" l="1"/>
  <c r="U203" i="2" s="1"/>
  <c r="V203" i="2" s="1"/>
  <c r="W203" i="2" s="1"/>
  <c r="X203" i="2" s="1"/>
  <c r="Q205" i="2"/>
  <c r="T204" i="2" l="1"/>
  <c r="U204" i="2" s="1"/>
  <c r="V204" i="2" s="1"/>
  <c r="W204" i="2" s="1"/>
  <c r="X204" i="2" s="1"/>
  <c r="Q206" i="2"/>
  <c r="T205" i="2" l="1"/>
  <c r="U205" i="2" s="1"/>
  <c r="V205" i="2" s="1"/>
  <c r="W205" i="2" s="1"/>
  <c r="X205" i="2" s="1"/>
  <c r="T206" i="2" l="1"/>
  <c r="U206" i="2" s="1"/>
  <c r="V206" i="2" s="1"/>
  <c r="W206" i="2" s="1"/>
  <c r="X206" i="2" s="1"/>
  <c r="P204" i="2" s="1"/>
  <c r="P202" i="2"/>
  <c r="P205" i="2"/>
  <c r="P186" i="2"/>
  <c r="P187" i="2"/>
  <c r="P188" i="2"/>
  <c r="P191" i="2"/>
  <c r="P189" i="2"/>
  <c r="P190" i="2"/>
  <c r="P194" i="2"/>
  <c r="P193" i="2"/>
  <c r="P192" i="2"/>
  <c r="P196" i="2"/>
  <c r="P195" i="2"/>
  <c r="P197" i="2"/>
  <c r="P198" i="2"/>
  <c r="P199" i="2"/>
  <c r="P200" i="2"/>
  <c r="P201" i="2"/>
  <c r="P203" i="2"/>
  <c r="P206" i="2" l="1"/>
  <c r="X137" i="2"/>
  <c r="D22" i="1" l="1"/>
  <c r="F22" i="1" s="1"/>
  <c r="D22" i="2"/>
  <c r="E170" i="2" s="1"/>
  <c r="E172" i="2" l="1"/>
  <c r="E171" i="2"/>
  <c r="E178" i="2"/>
  <c r="E189" i="2" l="1"/>
  <c r="E180" i="2"/>
  <c r="E182" i="2" s="1"/>
  <c r="E183" i="2" s="1"/>
  <c r="B184" i="2" l="1"/>
  <c r="E23" i="1" s="1"/>
  <c r="D23" i="1"/>
  <c r="E196" i="2"/>
  <c r="G198" i="2" s="1"/>
  <c r="G60" i="1" s="1"/>
  <c r="E195" i="2"/>
  <c r="E198" i="2" s="1"/>
  <c r="E190" i="2"/>
  <c r="E60" i="1" l="1"/>
  <c r="F198" i="2"/>
  <c r="F60" i="1" s="1"/>
  <c r="H198" i="2"/>
  <c r="I60" i="1" s="1"/>
  <c r="E58" i="1"/>
  <c r="G192" i="2"/>
  <c r="H59" i="1" l="1"/>
  <c r="F192" i="2"/>
  <c r="F59" i="1" s="1"/>
  <c r="H192" i="2"/>
  <c r="I59" i="1" s="1"/>
</calcChain>
</file>

<file path=xl/comments1.xml><?xml version="1.0" encoding="utf-8"?>
<comments xmlns="http://schemas.openxmlformats.org/spreadsheetml/2006/main">
  <authors>
    <author>sangyo</author>
  </authors>
  <commentList>
    <comment ref="D14" authorId="0">
      <text>
        <r>
          <rPr>
            <b/>
            <sz val="9"/>
            <color indexed="81"/>
            <rFont val="ＭＳ Ｐゴシック"/>
            <family val="3"/>
            <charset val="128"/>
          </rPr>
          <t>添架ないときは0</t>
        </r>
      </text>
    </comment>
    <comment ref="D15" authorId="0">
      <text>
        <r>
          <rPr>
            <b/>
            <sz val="9"/>
            <color indexed="81"/>
            <rFont val="ＭＳ Ｐゴシック"/>
            <family val="3"/>
            <charset val="128"/>
          </rPr>
          <t>添架ないときは0</t>
        </r>
      </text>
    </comment>
    <comment ref="D26" authorId="0">
      <text>
        <r>
          <rPr>
            <b/>
            <sz val="9"/>
            <color indexed="81"/>
            <rFont val="ＭＳ Ｐゴシック"/>
            <family val="3"/>
            <charset val="128"/>
          </rPr>
          <t>径と肉厚の例
60.5×2.3
60.5×2.8
76.3×2.8
76.3×3.2
89.1×3.2
89.1×4.2</t>
        </r>
      </text>
    </comment>
    <comment ref="D30" authorId="0">
      <text>
        <r>
          <rPr>
            <b/>
            <sz val="9"/>
            <color indexed="81"/>
            <rFont val="ＭＳ Ｐゴシック"/>
            <family val="3"/>
            <charset val="128"/>
          </rPr>
          <t>路側式：40m/sec</t>
        </r>
      </text>
    </comment>
  </commentList>
</comments>
</file>

<file path=xl/comments2.xml><?xml version="1.0" encoding="utf-8"?>
<comments xmlns="http://schemas.openxmlformats.org/spreadsheetml/2006/main">
  <authors>
    <author>sangyo</author>
  </authors>
  <commentList>
    <comment ref="R138" authorId="0">
      <text>
        <r>
          <rPr>
            <b/>
            <sz val="9"/>
            <color indexed="81"/>
            <rFont val="ＭＳ Ｐゴシック"/>
            <family val="3"/>
            <charset val="128"/>
          </rPr>
          <t>π/2（rad)
90°を上限としている</t>
        </r>
      </text>
    </comment>
  </commentList>
</comments>
</file>

<file path=xl/sharedStrings.xml><?xml version="1.0" encoding="utf-8"?>
<sst xmlns="http://schemas.openxmlformats.org/spreadsheetml/2006/main" count="330" uniqueCount="273">
  <si>
    <t>道路標識設置基準・同解説（日本道路協会：昭和62年1月）</t>
    <rPh sb="0" eb="4">
      <t>ドウロヒョウシキ</t>
    </rPh>
    <rPh sb="4" eb="6">
      <t>セッチ</t>
    </rPh>
    <rPh sb="6" eb="8">
      <t>キジュン</t>
    </rPh>
    <rPh sb="9" eb="10">
      <t>ドウ</t>
    </rPh>
    <rPh sb="10" eb="12">
      <t>カイセツ</t>
    </rPh>
    <rPh sb="13" eb="15">
      <t>ニホン</t>
    </rPh>
    <rPh sb="15" eb="17">
      <t>ドウロ</t>
    </rPh>
    <rPh sb="17" eb="19">
      <t>キョウカイ</t>
    </rPh>
    <phoneticPr fontId="2"/>
  </si>
  <si>
    <t>道路標識設置要領・標準図集（建設省四国地方整備局：平成10年3月）</t>
    <rPh sb="0" eb="4">
      <t>ドウロヒョウシキ</t>
    </rPh>
    <rPh sb="4" eb="6">
      <t>セッチ</t>
    </rPh>
    <rPh sb="6" eb="8">
      <t>ヨウリョウ</t>
    </rPh>
    <rPh sb="9" eb="11">
      <t>ヒョウジュン</t>
    </rPh>
    <rPh sb="11" eb="12">
      <t>ズ</t>
    </rPh>
    <rPh sb="12" eb="13">
      <t>シュウ</t>
    </rPh>
    <rPh sb="14" eb="17">
      <t>ケンセツショウ</t>
    </rPh>
    <rPh sb="17" eb="19">
      <t>シコク</t>
    </rPh>
    <rPh sb="19" eb="21">
      <t>チホウ</t>
    </rPh>
    <rPh sb="21" eb="24">
      <t>セイビキョク</t>
    </rPh>
    <rPh sb="25" eb="27">
      <t>ヘイセイ</t>
    </rPh>
    <rPh sb="29" eb="30">
      <t>ネン</t>
    </rPh>
    <rPh sb="31" eb="32">
      <t>ガツ</t>
    </rPh>
    <phoneticPr fontId="2"/>
  </si>
  <si>
    <t>道路標識ハンドブック（全国道路標識・表示業協会：2012年度）</t>
    <rPh sb="0" eb="4">
      <t>ドウロヒョウシキ</t>
    </rPh>
    <rPh sb="11" eb="13">
      <t>ゼンコク</t>
    </rPh>
    <rPh sb="13" eb="17">
      <t>ドウロヒョウシキ</t>
    </rPh>
    <rPh sb="18" eb="20">
      <t>ヒョウジ</t>
    </rPh>
    <rPh sb="20" eb="21">
      <t>ギョウ</t>
    </rPh>
    <rPh sb="21" eb="23">
      <t>キョウカイ</t>
    </rPh>
    <rPh sb="28" eb="30">
      <t>ネンド</t>
    </rPh>
    <phoneticPr fontId="2"/>
  </si>
  <si>
    <t>１．設計条件</t>
    <rPh sb="2" eb="4">
      <t>セッケイ</t>
    </rPh>
    <rPh sb="4" eb="6">
      <t>ジョウケン</t>
    </rPh>
    <phoneticPr fontId="2"/>
  </si>
  <si>
    <t>（ア）寸法</t>
    <rPh sb="3" eb="5">
      <t>スンポウ</t>
    </rPh>
    <phoneticPr fontId="2"/>
  </si>
  <si>
    <t>m</t>
    <phoneticPr fontId="2"/>
  </si>
  <si>
    <t>設置高（路面から）</t>
    <rPh sb="0" eb="2">
      <t>セッチ</t>
    </rPh>
    <rPh sb="2" eb="3">
      <t>タカ</t>
    </rPh>
    <rPh sb="4" eb="6">
      <t>ロメン</t>
    </rPh>
    <phoneticPr fontId="2"/>
  </si>
  <si>
    <t>基礎</t>
    <rPh sb="0" eb="2">
      <t>キソ</t>
    </rPh>
    <phoneticPr fontId="2"/>
  </si>
  <si>
    <t>基礎前面幅</t>
    <rPh sb="0" eb="2">
      <t>キソ</t>
    </rPh>
    <rPh sb="2" eb="4">
      <t>ゼンメン</t>
    </rPh>
    <rPh sb="4" eb="5">
      <t>ハバ</t>
    </rPh>
    <phoneticPr fontId="2"/>
  </si>
  <si>
    <t>m</t>
    <phoneticPr fontId="2"/>
  </si>
  <si>
    <t>基礎深さ</t>
    <rPh sb="0" eb="2">
      <t>キソ</t>
    </rPh>
    <rPh sb="2" eb="3">
      <t>フカ</t>
    </rPh>
    <phoneticPr fontId="2"/>
  </si>
  <si>
    <t>Dk</t>
    <phoneticPr fontId="2"/>
  </si>
  <si>
    <t>基礎側面幅</t>
    <rPh sb="0" eb="2">
      <t>キソ</t>
    </rPh>
    <rPh sb="2" eb="4">
      <t>ソクメン</t>
    </rPh>
    <rPh sb="4" eb="5">
      <t>ハバ</t>
    </rPh>
    <phoneticPr fontId="2"/>
  </si>
  <si>
    <t>（イ）使用部材</t>
    <rPh sb="3" eb="5">
      <t>シヨウ</t>
    </rPh>
    <rPh sb="5" eb="7">
      <t>ブザイ</t>
    </rPh>
    <phoneticPr fontId="2"/>
  </si>
  <si>
    <t>mm</t>
    <phoneticPr fontId="2"/>
  </si>
  <si>
    <t>柱主材(STK)</t>
    <rPh sb="0" eb="1">
      <t>ハシラ</t>
    </rPh>
    <rPh sb="1" eb="3">
      <t>シュザイ</t>
    </rPh>
    <phoneticPr fontId="2"/>
  </si>
  <si>
    <t>ボルト呼び</t>
    <rPh sb="3" eb="4">
      <t>ヨ</t>
    </rPh>
    <phoneticPr fontId="2"/>
  </si>
  <si>
    <t>（オ）荷重条件</t>
    <rPh sb="3" eb="5">
      <t>カジュウ</t>
    </rPh>
    <rPh sb="5" eb="7">
      <t>ジョウケン</t>
    </rPh>
    <phoneticPr fontId="2"/>
  </si>
  <si>
    <t>設計風速</t>
    <rPh sb="0" eb="2">
      <t>セッケイ</t>
    </rPh>
    <rPh sb="2" eb="4">
      <t>フウソク</t>
    </rPh>
    <phoneticPr fontId="2"/>
  </si>
  <si>
    <t>m/s</t>
    <phoneticPr fontId="2"/>
  </si>
  <si>
    <t>風力係数 Cd</t>
    <rPh sb="0" eb="2">
      <t>フウリョク</t>
    </rPh>
    <rPh sb="2" eb="4">
      <t>ケイスウ</t>
    </rPh>
    <phoneticPr fontId="2"/>
  </si>
  <si>
    <t>標識板</t>
    <rPh sb="0" eb="3">
      <t>ヒョウシキバン</t>
    </rPh>
    <phoneticPr fontId="2"/>
  </si>
  <si>
    <t>支柱類</t>
    <rPh sb="0" eb="2">
      <t>シチュウ</t>
    </rPh>
    <rPh sb="2" eb="3">
      <t>ルイ</t>
    </rPh>
    <phoneticPr fontId="2"/>
  </si>
  <si>
    <t>（カ）基礎条件等</t>
    <rPh sb="3" eb="5">
      <t>キソ</t>
    </rPh>
    <rPh sb="5" eb="7">
      <t>ジョウケン</t>
    </rPh>
    <rPh sb="7" eb="8">
      <t>トウ</t>
    </rPh>
    <phoneticPr fontId="2"/>
  </si>
  <si>
    <t>コンクリート単位重量</t>
    <rPh sb="6" eb="8">
      <t>タンイ</t>
    </rPh>
    <rPh sb="8" eb="10">
      <t>ジュウリョウ</t>
    </rPh>
    <phoneticPr fontId="2"/>
  </si>
  <si>
    <t>γc</t>
    <phoneticPr fontId="2"/>
  </si>
  <si>
    <t>kN/m3</t>
    <phoneticPr fontId="2"/>
  </si>
  <si>
    <t>土の単位重量</t>
    <rPh sb="0" eb="1">
      <t>ツチ</t>
    </rPh>
    <rPh sb="2" eb="4">
      <t>タンイ</t>
    </rPh>
    <rPh sb="4" eb="6">
      <t>ジュウリョウ</t>
    </rPh>
    <phoneticPr fontId="2"/>
  </si>
  <si>
    <t>γ</t>
    <phoneticPr fontId="2"/>
  </si>
  <si>
    <t>N値</t>
    <rPh sb="1" eb="2">
      <t>チ</t>
    </rPh>
    <phoneticPr fontId="2"/>
  </si>
  <si>
    <t>受働土圧係数</t>
    <rPh sb="0" eb="2">
      <t>ジュドウ</t>
    </rPh>
    <rPh sb="2" eb="4">
      <t>ドアツ</t>
    </rPh>
    <rPh sb="4" eb="6">
      <t>ケイスウ</t>
    </rPh>
    <phoneticPr fontId="2"/>
  </si>
  <si>
    <t>Kp</t>
    <phoneticPr fontId="2"/>
  </si>
  <si>
    <t>地盤反力短期</t>
    <rPh sb="0" eb="2">
      <t>ジバン</t>
    </rPh>
    <rPh sb="2" eb="4">
      <t>ハンリョク</t>
    </rPh>
    <rPh sb="4" eb="6">
      <t>タンキ</t>
    </rPh>
    <phoneticPr fontId="2"/>
  </si>
  <si>
    <t>kN/㎡</t>
    <phoneticPr fontId="2"/>
  </si>
  <si>
    <t>（キ）材料の許容応力度</t>
    <rPh sb="3" eb="5">
      <t>ザイリョウ</t>
    </rPh>
    <rPh sb="6" eb="8">
      <t>キョヨウ</t>
    </rPh>
    <rPh sb="8" eb="11">
      <t>オウリョクド</t>
    </rPh>
    <phoneticPr fontId="2"/>
  </si>
  <si>
    <t>鋼材(SS400,STK400)</t>
    <rPh sb="0" eb="2">
      <t>コウザイ</t>
    </rPh>
    <phoneticPr fontId="2"/>
  </si>
  <si>
    <t>長期</t>
    <rPh sb="0" eb="2">
      <t>チョウキ</t>
    </rPh>
    <phoneticPr fontId="2"/>
  </si>
  <si>
    <t>短期</t>
    <rPh sb="0" eb="2">
      <t>タンキ</t>
    </rPh>
    <phoneticPr fontId="2"/>
  </si>
  <si>
    <t>　引張応力度</t>
    <rPh sb="1" eb="3">
      <t>ヒッパリ</t>
    </rPh>
    <rPh sb="3" eb="6">
      <t>オウリョクド</t>
    </rPh>
    <phoneticPr fontId="2"/>
  </si>
  <si>
    <t>長期×1.5</t>
    <rPh sb="0" eb="2">
      <t>チョウキ</t>
    </rPh>
    <phoneticPr fontId="2"/>
  </si>
  <si>
    <t>N/mm2</t>
    <phoneticPr fontId="2"/>
  </si>
  <si>
    <t>　圧縮応力度</t>
    <rPh sb="1" eb="3">
      <t>アッシュク</t>
    </rPh>
    <rPh sb="3" eb="6">
      <t>オウリョクド</t>
    </rPh>
    <phoneticPr fontId="2"/>
  </si>
  <si>
    <t>〃</t>
    <phoneticPr fontId="2"/>
  </si>
  <si>
    <t>　曲げ応力度</t>
    <rPh sb="1" eb="2">
      <t>マ</t>
    </rPh>
    <rPh sb="3" eb="6">
      <t>オウリョクド</t>
    </rPh>
    <phoneticPr fontId="2"/>
  </si>
  <si>
    <t xml:space="preserve"> 面外許容曲げ応力度</t>
    <rPh sb="1" eb="2">
      <t>メン</t>
    </rPh>
    <rPh sb="2" eb="3">
      <t>ガイ</t>
    </rPh>
    <rPh sb="3" eb="5">
      <t>キョヨウ</t>
    </rPh>
    <rPh sb="5" eb="6">
      <t>マ</t>
    </rPh>
    <rPh sb="7" eb="10">
      <t>オウリョクド</t>
    </rPh>
    <phoneticPr fontId="2"/>
  </si>
  <si>
    <t>　せん断応力度</t>
    <rPh sb="3" eb="4">
      <t>ダン</t>
    </rPh>
    <rPh sb="4" eb="7">
      <t>オウリョクド</t>
    </rPh>
    <phoneticPr fontId="2"/>
  </si>
  <si>
    <t>m</t>
    <phoneticPr fontId="2"/>
  </si>
  <si>
    <t>補助標識板幅</t>
    <rPh sb="0" eb="2">
      <t>ホジョ</t>
    </rPh>
    <rPh sb="2" eb="5">
      <t>ヒョウシキバン</t>
    </rPh>
    <rPh sb="5" eb="6">
      <t>ハバ</t>
    </rPh>
    <phoneticPr fontId="2"/>
  </si>
  <si>
    <t>補助標識板高</t>
    <rPh sb="0" eb="2">
      <t>ホジョ</t>
    </rPh>
    <rPh sb="2" eb="5">
      <t>ヒョウシキバン</t>
    </rPh>
    <rPh sb="5" eb="6">
      <t>タカ</t>
    </rPh>
    <phoneticPr fontId="2"/>
  </si>
  <si>
    <t>標識辺長</t>
    <rPh sb="0" eb="2">
      <t>ヒョウシキ</t>
    </rPh>
    <rPh sb="2" eb="4">
      <t>ヘンチョウ</t>
    </rPh>
    <phoneticPr fontId="2"/>
  </si>
  <si>
    <t>L</t>
    <phoneticPr fontId="2"/>
  </si>
  <si>
    <t>Bh</t>
    <phoneticPr fontId="2"/>
  </si>
  <si>
    <t>Hh</t>
    <phoneticPr fontId="2"/>
  </si>
  <si>
    <t>h</t>
    <phoneticPr fontId="2"/>
  </si>
  <si>
    <t>２．柱の計算</t>
    <rPh sb="2" eb="3">
      <t>ハシラ</t>
    </rPh>
    <rPh sb="4" eb="6">
      <t>ケイサン</t>
    </rPh>
    <phoneticPr fontId="2"/>
  </si>
  <si>
    <t>ア）荷重の算出</t>
    <rPh sb="2" eb="4">
      <t>カジュウ</t>
    </rPh>
    <rPh sb="5" eb="7">
      <t>サンシュツ</t>
    </rPh>
    <phoneticPr fontId="2"/>
  </si>
  <si>
    <t>①固定荷重</t>
    <rPh sb="1" eb="3">
      <t>コテイ</t>
    </rPh>
    <rPh sb="3" eb="5">
      <t>カジュウ</t>
    </rPh>
    <phoneticPr fontId="2"/>
  </si>
  <si>
    <t>自重は主荷重である風荷重に比べ十分に小さいため無視する。</t>
    <rPh sb="0" eb="2">
      <t>ジジュウ</t>
    </rPh>
    <rPh sb="3" eb="4">
      <t>シュ</t>
    </rPh>
    <rPh sb="4" eb="6">
      <t>カジュウ</t>
    </rPh>
    <rPh sb="9" eb="10">
      <t>カゼ</t>
    </rPh>
    <rPh sb="10" eb="12">
      <t>カジュウ</t>
    </rPh>
    <rPh sb="13" eb="14">
      <t>クラ</t>
    </rPh>
    <rPh sb="15" eb="17">
      <t>ジュウブン</t>
    </rPh>
    <rPh sb="18" eb="19">
      <t>チイ</t>
    </rPh>
    <rPh sb="23" eb="25">
      <t>ムシ</t>
    </rPh>
    <phoneticPr fontId="2"/>
  </si>
  <si>
    <t>②風荷重</t>
    <rPh sb="1" eb="2">
      <t>カゼ</t>
    </rPh>
    <rPh sb="2" eb="4">
      <t>カジュウ</t>
    </rPh>
    <phoneticPr fontId="2"/>
  </si>
  <si>
    <t>２．部材諸元および作用荷重</t>
    <rPh sb="2" eb="4">
      <t>ブザイ</t>
    </rPh>
    <rPh sb="4" eb="6">
      <t>ショゲン</t>
    </rPh>
    <rPh sb="9" eb="11">
      <t>サヨウ</t>
    </rPh>
    <rPh sb="11" eb="13">
      <t>カジュウ</t>
    </rPh>
    <phoneticPr fontId="2"/>
  </si>
  <si>
    <t>ア）使用部材諸元</t>
    <rPh sb="2" eb="4">
      <t>シヨウ</t>
    </rPh>
    <rPh sb="4" eb="6">
      <t>ブザイ</t>
    </rPh>
    <rPh sb="6" eb="8">
      <t>ショゲン</t>
    </rPh>
    <phoneticPr fontId="2"/>
  </si>
  <si>
    <t>重量</t>
    <rPh sb="0" eb="2">
      <t>ジュウリョウ</t>
    </rPh>
    <phoneticPr fontId="2"/>
  </si>
  <si>
    <t>断面積</t>
    <rPh sb="0" eb="3">
      <t>ダンメンセキ</t>
    </rPh>
    <phoneticPr fontId="2"/>
  </si>
  <si>
    <t>断面性能</t>
    <rPh sb="0" eb="2">
      <t>ダンメン</t>
    </rPh>
    <rPh sb="2" eb="4">
      <t>セイノウ</t>
    </rPh>
    <phoneticPr fontId="2"/>
  </si>
  <si>
    <t>規格</t>
    <rPh sb="0" eb="2">
      <t>キカク</t>
    </rPh>
    <phoneticPr fontId="2"/>
  </si>
  <si>
    <t>w(N/m)</t>
    <phoneticPr fontId="2"/>
  </si>
  <si>
    <t>A(cm2)</t>
    <phoneticPr fontId="2"/>
  </si>
  <si>
    <t>I（cm4)</t>
    <phoneticPr fontId="2"/>
  </si>
  <si>
    <t>Z(cm3)</t>
    <phoneticPr fontId="2"/>
  </si>
  <si>
    <t>i(cm)</t>
    <phoneticPr fontId="2"/>
  </si>
  <si>
    <t>Ip(cm4)</t>
    <phoneticPr fontId="2"/>
  </si>
  <si>
    <t>d2(cm)</t>
    <phoneticPr fontId="2"/>
  </si>
  <si>
    <t>d1(cm)</t>
    <phoneticPr fontId="2"/>
  </si>
  <si>
    <t>I（cm4)</t>
    <phoneticPr fontId="2"/>
  </si>
  <si>
    <t>Z(cm3)</t>
    <phoneticPr fontId="2"/>
  </si>
  <si>
    <t>i(cm)</t>
    <phoneticPr fontId="2"/>
  </si>
  <si>
    <t>Ip(cm4)</t>
    <phoneticPr fontId="2"/>
  </si>
  <si>
    <t>I</t>
    <phoneticPr fontId="2"/>
  </si>
  <si>
    <t>Z</t>
    <phoneticPr fontId="2"/>
  </si>
  <si>
    <t>i</t>
    <phoneticPr fontId="2"/>
  </si>
  <si>
    <t>Ip</t>
    <phoneticPr fontId="2"/>
  </si>
  <si>
    <t>梁材</t>
    <rPh sb="0" eb="1">
      <t>ハリ</t>
    </rPh>
    <rPh sb="1" eb="2">
      <t>ザイ</t>
    </rPh>
    <phoneticPr fontId="2"/>
  </si>
  <si>
    <t>支柱</t>
    <rPh sb="0" eb="2">
      <t>シチュウ</t>
    </rPh>
    <phoneticPr fontId="2"/>
  </si>
  <si>
    <t>※断面性能は有効数字３桁</t>
    <rPh sb="1" eb="3">
      <t>ダンメン</t>
    </rPh>
    <rPh sb="3" eb="5">
      <t>セイノウ</t>
    </rPh>
    <rPh sb="6" eb="8">
      <t>ユウコウ</t>
    </rPh>
    <rPh sb="8" eb="10">
      <t>スウジ</t>
    </rPh>
    <rPh sb="11" eb="12">
      <t>ケタ</t>
    </rPh>
    <phoneticPr fontId="2"/>
  </si>
  <si>
    <t>有効断面積（mm2)</t>
    <rPh sb="0" eb="2">
      <t>ユウコウ</t>
    </rPh>
    <rPh sb="2" eb="5">
      <t>ダンメンセキ</t>
    </rPh>
    <phoneticPr fontId="2"/>
  </si>
  <si>
    <t>ボルト径</t>
    <rPh sb="3" eb="4">
      <t>ケイ</t>
    </rPh>
    <phoneticPr fontId="2"/>
  </si>
  <si>
    <t>鋼材の単位重量</t>
    <rPh sb="0" eb="2">
      <t>コウザイ</t>
    </rPh>
    <rPh sb="3" eb="5">
      <t>タンイ</t>
    </rPh>
    <rPh sb="5" eb="7">
      <t>ジュウリョウ</t>
    </rPh>
    <phoneticPr fontId="2"/>
  </si>
  <si>
    <t>空気密度</t>
    <rPh sb="0" eb="2">
      <t>クウキ</t>
    </rPh>
    <rPh sb="2" eb="4">
      <t>ミツド</t>
    </rPh>
    <phoneticPr fontId="2"/>
  </si>
  <si>
    <t>M6</t>
    <phoneticPr fontId="2"/>
  </si>
  <si>
    <t>ρ</t>
    <phoneticPr fontId="2"/>
  </si>
  <si>
    <t>N･s^2/m4</t>
    <phoneticPr fontId="2"/>
  </si>
  <si>
    <t>M8</t>
    <phoneticPr fontId="2"/>
  </si>
  <si>
    <t>N/cm3</t>
    <phoneticPr fontId="2"/>
  </si>
  <si>
    <t>M10</t>
    <phoneticPr fontId="2"/>
  </si>
  <si>
    <t>M12</t>
    <phoneticPr fontId="2"/>
  </si>
  <si>
    <t>M14</t>
    <phoneticPr fontId="2"/>
  </si>
  <si>
    <t>M16</t>
    <phoneticPr fontId="2"/>
  </si>
  <si>
    <t>M20</t>
    <phoneticPr fontId="2"/>
  </si>
  <si>
    <t>M22</t>
    <phoneticPr fontId="2"/>
  </si>
  <si>
    <t>M24</t>
    <phoneticPr fontId="2"/>
  </si>
  <si>
    <t>M27</t>
    <phoneticPr fontId="2"/>
  </si>
  <si>
    <t>M30</t>
    <phoneticPr fontId="2"/>
  </si>
  <si>
    <t>M36</t>
    <phoneticPr fontId="2"/>
  </si>
  <si>
    <t>梁</t>
    <rPh sb="0" eb="1">
      <t>ハリ</t>
    </rPh>
    <phoneticPr fontId="2"/>
  </si>
  <si>
    <t>柱アンカー</t>
    <rPh sb="0" eb="1">
      <t>ハシラ</t>
    </rPh>
    <phoneticPr fontId="2"/>
  </si>
  <si>
    <t>イ）作用荷重</t>
    <rPh sb="2" eb="4">
      <t>サヨウ</t>
    </rPh>
    <rPh sb="4" eb="6">
      <t>カジュウ</t>
    </rPh>
    <phoneticPr fontId="2"/>
  </si>
  <si>
    <t>設計風荷重</t>
    <rPh sb="0" eb="2">
      <t>セッケイ</t>
    </rPh>
    <rPh sb="2" eb="3">
      <t>カゼ</t>
    </rPh>
    <rPh sb="3" eb="5">
      <t>カジュウ</t>
    </rPh>
    <phoneticPr fontId="2"/>
  </si>
  <si>
    <t>設計風荷重（標識板）</t>
    <rPh sb="0" eb="2">
      <t>セッケイ</t>
    </rPh>
    <rPh sb="2" eb="3">
      <t>カゼ</t>
    </rPh>
    <rPh sb="3" eb="5">
      <t>カジュウ</t>
    </rPh>
    <rPh sb="6" eb="9">
      <t>ヒョウシキバン</t>
    </rPh>
    <phoneticPr fontId="2"/>
  </si>
  <si>
    <t>wb=1/2×ρ×v^2×Cd＝</t>
    <phoneticPr fontId="2"/>
  </si>
  <si>
    <t>N/㎡</t>
    <phoneticPr fontId="2"/>
  </si>
  <si>
    <t>設計風荷重（支柱）</t>
    <rPh sb="0" eb="2">
      <t>セッケイ</t>
    </rPh>
    <rPh sb="2" eb="3">
      <t>カゼ</t>
    </rPh>
    <rPh sb="3" eb="5">
      <t>カジュウ</t>
    </rPh>
    <rPh sb="6" eb="8">
      <t>シチュウ</t>
    </rPh>
    <phoneticPr fontId="2"/>
  </si>
  <si>
    <t>ws=1/2×ρ×v^2×Cd＝</t>
    <phoneticPr fontId="2"/>
  </si>
  <si>
    <t>ここに</t>
    <phoneticPr fontId="2"/>
  </si>
  <si>
    <t>ρ=</t>
    <phoneticPr fontId="2"/>
  </si>
  <si>
    <t>P1=wb×Ｌ×L=</t>
    <phoneticPr fontId="2"/>
  </si>
  <si>
    <t>補助標識</t>
    <rPh sb="0" eb="2">
      <t>ホジョ</t>
    </rPh>
    <rPh sb="2" eb="4">
      <t>ヒョウシキ</t>
    </rPh>
    <phoneticPr fontId="2"/>
  </si>
  <si>
    <t>P2=wb×Bh×Hh=</t>
    <phoneticPr fontId="2"/>
  </si>
  <si>
    <t>P3=ws×φ×h=</t>
    <phoneticPr fontId="2"/>
  </si>
  <si>
    <t>径φ</t>
    <rPh sb="0" eb="1">
      <t>ケイ</t>
    </rPh>
    <phoneticPr fontId="2"/>
  </si>
  <si>
    <t>肉厚t</t>
    <rPh sb="0" eb="2">
      <t>ニクアツ</t>
    </rPh>
    <phoneticPr fontId="2"/>
  </si>
  <si>
    <t>N</t>
    <phoneticPr fontId="2"/>
  </si>
  <si>
    <t>合計（ΣH）</t>
    <rPh sb="0" eb="2">
      <t>ゴウケイ</t>
    </rPh>
    <phoneticPr fontId="2"/>
  </si>
  <si>
    <t>支柱地際の曲げモーメント</t>
    <rPh sb="0" eb="2">
      <t>シチュウ</t>
    </rPh>
    <rPh sb="2" eb="4">
      <t>ジギワ</t>
    </rPh>
    <rPh sb="5" eb="6">
      <t>マ</t>
    </rPh>
    <phoneticPr fontId="2"/>
  </si>
  <si>
    <t>M=P1×h1+P2×h2+P3×1/2h=</t>
    <phoneticPr fontId="2"/>
  </si>
  <si>
    <t>h1=</t>
    <phoneticPr fontId="2"/>
  </si>
  <si>
    <t>h2=</t>
    <phoneticPr fontId="2"/>
  </si>
  <si>
    <t>1/2h=</t>
    <phoneticPr fontId="2"/>
  </si>
  <si>
    <t>N・m</t>
    <phoneticPr fontId="2"/>
  </si>
  <si>
    <t>ここに、</t>
    <phoneticPr fontId="2"/>
  </si>
  <si>
    <t>イ）断面力の算出</t>
    <rPh sb="2" eb="4">
      <t>ダンメン</t>
    </rPh>
    <rPh sb="4" eb="5">
      <t>リョク</t>
    </rPh>
    <rPh sb="6" eb="8">
      <t>サンシュツ</t>
    </rPh>
    <phoneticPr fontId="2"/>
  </si>
  <si>
    <t>①曲げモーメント</t>
    <rPh sb="1" eb="2">
      <t>マ</t>
    </rPh>
    <phoneticPr fontId="2"/>
  </si>
  <si>
    <t>②せん断力</t>
    <rPh sb="3" eb="5">
      <t>ダンリョク</t>
    </rPh>
    <phoneticPr fontId="2"/>
  </si>
  <si>
    <t>S=</t>
    <phoneticPr fontId="2"/>
  </si>
  <si>
    <t>ウ）応力度の算出</t>
    <rPh sb="2" eb="5">
      <t>オウリョクド</t>
    </rPh>
    <rPh sb="6" eb="8">
      <t>サンシュツ</t>
    </rPh>
    <phoneticPr fontId="2"/>
  </si>
  <si>
    <t>支柱地際での応力度を照査する。</t>
    <rPh sb="0" eb="2">
      <t>シチュウ</t>
    </rPh>
    <rPh sb="2" eb="4">
      <t>ジギワ</t>
    </rPh>
    <rPh sb="6" eb="9">
      <t>オウリョクド</t>
    </rPh>
    <rPh sb="10" eb="12">
      <t>ショウサ</t>
    </rPh>
    <phoneticPr fontId="2"/>
  </si>
  <si>
    <t>①曲げ応力度</t>
    <rPh sb="1" eb="2">
      <t>マ</t>
    </rPh>
    <rPh sb="3" eb="6">
      <t>オウリョクド</t>
    </rPh>
    <phoneticPr fontId="2"/>
  </si>
  <si>
    <t>cσb=M/Z＝</t>
    <phoneticPr fontId="2"/>
  </si>
  <si>
    <t>N/m㎡</t>
    <phoneticPr fontId="2"/>
  </si>
  <si>
    <t>M</t>
    <phoneticPr fontId="2"/>
  </si>
  <si>
    <t>Z</t>
    <phoneticPr fontId="2"/>
  </si>
  <si>
    <t>cσb/(fb×1.5)=</t>
    <phoneticPr fontId="2"/>
  </si>
  <si>
    <t>1.5fb</t>
    <phoneticPr fontId="2"/>
  </si>
  <si>
    <t>②せん断応力度</t>
    <rPh sb="3" eb="4">
      <t>ダン</t>
    </rPh>
    <rPh sb="4" eb="7">
      <t>オウリョクド</t>
    </rPh>
    <phoneticPr fontId="2"/>
  </si>
  <si>
    <t>柱の断面決定は曲げモーメントが支配的であるため、せん断応力度力の算出は省略する。</t>
    <rPh sb="0" eb="1">
      <t>ハシラ</t>
    </rPh>
    <rPh sb="2" eb="4">
      <t>ダンメン</t>
    </rPh>
    <rPh sb="4" eb="6">
      <t>ケッテイ</t>
    </rPh>
    <rPh sb="7" eb="8">
      <t>マ</t>
    </rPh>
    <rPh sb="15" eb="18">
      <t>シハイテキ</t>
    </rPh>
    <rPh sb="26" eb="27">
      <t>ダン</t>
    </rPh>
    <rPh sb="27" eb="30">
      <t>オウリョクド</t>
    </rPh>
    <rPh sb="30" eb="31">
      <t>チカラ</t>
    </rPh>
    <rPh sb="32" eb="34">
      <t>サンシュツ</t>
    </rPh>
    <rPh sb="35" eb="37">
      <t>ショウリャク</t>
    </rPh>
    <phoneticPr fontId="2"/>
  </si>
  <si>
    <t>３．基礎の計算</t>
    <rPh sb="2" eb="4">
      <t>キソ</t>
    </rPh>
    <rPh sb="5" eb="7">
      <t>ケイサン</t>
    </rPh>
    <phoneticPr fontId="2"/>
  </si>
  <si>
    <t>ア）基礎寸法</t>
    <rPh sb="2" eb="4">
      <t>キソ</t>
    </rPh>
    <rPh sb="4" eb="6">
      <t>スンポウ</t>
    </rPh>
    <phoneticPr fontId="2"/>
  </si>
  <si>
    <t>上図より、</t>
    <rPh sb="0" eb="2">
      <t>ジョウズ</t>
    </rPh>
    <phoneticPr fontId="2"/>
  </si>
  <si>
    <t>2b=Bk=</t>
    <phoneticPr fontId="2"/>
  </si>
  <si>
    <t>2a=Lk=</t>
    <phoneticPr fontId="2"/>
  </si>
  <si>
    <t>L=Dk=</t>
    <phoneticPr fontId="2"/>
  </si>
  <si>
    <t>イ）地盤反力係数の算出</t>
    <rPh sb="2" eb="4">
      <t>ジバン</t>
    </rPh>
    <rPh sb="4" eb="6">
      <t>ハンリョク</t>
    </rPh>
    <rPh sb="6" eb="8">
      <t>ケイスウ</t>
    </rPh>
    <rPh sb="9" eb="11">
      <t>サンシュツ</t>
    </rPh>
    <phoneticPr fontId="2"/>
  </si>
  <si>
    <t>①水平方向地盤反力係数</t>
    <rPh sb="1" eb="3">
      <t>スイヘイ</t>
    </rPh>
    <rPh sb="3" eb="5">
      <t>ホウコウ</t>
    </rPh>
    <rPh sb="5" eb="7">
      <t>ジバン</t>
    </rPh>
    <rPh sb="7" eb="9">
      <t>ハンリョク</t>
    </rPh>
    <rPh sb="9" eb="11">
      <t>ケイスウ</t>
    </rPh>
    <phoneticPr fontId="2"/>
  </si>
  <si>
    <t>Kh=αk・KH0（BH/0.3)＾（-3/4)＝</t>
    <phoneticPr fontId="2"/>
  </si>
  <si>
    <t>Kh：水平方向地盤反力係数(kN/m3)</t>
    <rPh sb="3" eb="13">
      <t>スイヘイホウコウジバンハンリョクケイスウ</t>
    </rPh>
    <phoneticPr fontId="2"/>
  </si>
  <si>
    <t>α：地盤反力係数の推定に用いる係数（α=1)</t>
    <rPh sb="2" eb="4">
      <t>ジバン</t>
    </rPh>
    <rPh sb="4" eb="6">
      <t>ハンリョク</t>
    </rPh>
    <rPh sb="6" eb="8">
      <t>ケイスウ</t>
    </rPh>
    <rPh sb="9" eb="11">
      <t>スイテイ</t>
    </rPh>
    <rPh sb="12" eb="13">
      <t>モチ</t>
    </rPh>
    <rPh sb="15" eb="17">
      <t>ケイスウ</t>
    </rPh>
    <phoneticPr fontId="2"/>
  </si>
  <si>
    <t>αk：補正係数（αk=1.2)</t>
    <rPh sb="3" eb="5">
      <t>ホセイ</t>
    </rPh>
    <rPh sb="5" eb="7">
      <t>ケイスウ</t>
    </rPh>
    <phoneticPr fontId="2"/>
  </si>
  <si>
    <t>N：N値（N値=10)</t>
    <rPh sb="3" eb="4">
      <t>チ</t>
    </rPh>
    <rPh sb="6" eb="7">
      <t>チ</t>
    </rPh>
    <phoneticPr fontId="2"/>
  </si>
  <si>
    <t>E0：設計対象とする位置での地盤の変形係数（kN/㎡)</t>
    <rPh sb="3" eb="5">
      <t>セッケイ</t>
    </rPh>
    <rPh sb="5" eb="7">
      <t>タイショウ</t>
    </rPh>
    <rPh sb="10" eb="12">
      <t>イチ</t>
    </rPh>
    <rPh sb="14" eb="16">
      <t>ジバン</t>
    </rPh>
    <rPh sb="17" eb="19">
      <t>ヘンケイ</t>
    </rPh>
    <rPh sb="19" eb="21">
      <t>ケイスウ</t>
    </rPh>
    <phoneticPr fontId="2"/>
  </si>
  <si>
    <t>E0=2800・N</t>
    <phoneticPr fontId="2"/>
  </si>
  <si>
    <t>BH=</t>
    <phoneticPr fontId="2"/>
  </si>
  <si>
    <t>BH：荷重作用方向に直交する基礎の換算載荷幅(m)</t>
    <rPh sb="3" eb="5">
      <t>カジュウ</t>
    </rPh>
    <rPh sb="5" eb="7">
      <t>サヨウ</t>
    </rPh>
    <rPh sb="7" eb="9">
      <t>ホウコウ</t>
    </rPh>
    <rPh sb="10" eb="12">
      <t>チョッコウ</t>
    </rPh>
    <rPh sb="14" eb="16">
      <t>キソ</t>
    </rPh>
    <rPh sb="17" eb="19">
      <t>カンサン</t>
    </rPh>
    <rPh sb="19" eb="21">
      <t>サイカ</t>
    </rPh>
    <rPh sb="21" eb="22">
      <t>ハバ</t>
    </rPh>
    <phoneticPr fontId="2"/>
  </si>
  <si>
    <t>Be=2b=Bk</t>
    <phoneticPr fontId="2"/>
  </si>
  <si>
    <t>Le=L=Dk</t>
    <phoneticPr fontId="2"/>
  </si>
  <si>
    <t>√(Be・Le)＝</t>
    <phoneticPr fontId="2"/>
  </si>
  <si>
    <t>Bk</t>
    <phoneticPr fontId="2"/>
  </si>
  <si>
    <t>Lk</t>
    <phoneticPr fontId="2"/>
  </si>
  <si>
    <t>条件　Be≦√(Be・Le)より、</t>
    <rPh sb="0" eb="2">
      <t>ジョウケン</t>
    </rPh>
    <phoneticPr fontId="2"/>
  </si>
  <si>
    <t>②鉛直方向地盤反力係数</t>
    <rPh sb="1" eb="3">
      <t>エンチョク</t>
    </rPh>
    <rPh sb="3" eb="5">
      <t>ホウコウ</t>
    </rPh>
    <rPh sb="5" eb="7">
      <t>ジバン</t>
    </rPh>
    <rPh sb="7" eb="9">
      <t>ハンリョク</t>
    </rPh>
    <rPh sb="9" eb="11">
      <t>ケイスウ</t>
    </rPh>
    <phoneticPr fontId="2"/>
  </si>
  <si>
    <t>Kv=Kv0（BV/0.3)＾（-3/4)＝</t>
    <phoneticPr fontId="2"/>
  </si>
  <si>
    <t>Kv：鉛直方向地盤反力係数(kN/m3)</t>
    <rPh sb="3" eb="5">
      <t>エンチョク</t>
    </rPh>
    <rPh sb="5" eb="7">
      <t>ホウコウ</t>
    </rPh>
    <rPh sb="7" eb="9">
      <t>ジバン</t>
    </rPh>
    <rPh sb="9" eb="11">
      <t>ハンリョク</t>
    </rPh>
    <rPh sb="11" eb="13">
      <t>ケイスウ</t>
    </rPh>
    <phoneticPr fontId="2"/>
  </si>
  <si>
    <t>Kv0：直径0.3mの剛体円板による平板載荷試験の値に相当する水平方向の地盤反力係数(kN/m3)</t>
    <rPh sb="4" eb="6">
      <t>チョッケイ</t>
    </rPh>
    <rPh sb="11" eb="13">
      <t>ゴウタイ</t>
    </rPh>
    <rPh sb="13" eb="15">
      <t>エンバン</t>
    </rPh>
    <rPh sb="18" eb="20">
      <t>ヘイバン</t>
    </rPh>
    <rPh sb="20" eb="22">
      <t>サイカ</t>
    </rPh>
    <rPh sb="22" eb="24">
      <t>シケン</t>
    </rPh>
    <rPh sb="25" eb="26">
      <t>アタイ</t>
    </rPh>
    <rPh sb="27" eb="29">
      <t>ソウトウ</t>
    </rPh>
    <rPh sb="31" eb="33">
      <t>スイヘイ</t>
    </rPh>
    <rPh sb="33" eb="35">
      <t>ホウコウ</t>
    </rPh>
    <rPh sb="36" eb="38">
      <t>ジバン</t>
    </rPh>
    <rPh sb="38" eb="40">
      <t>ハンリョク</t>
    </rPh>
    <rPh sb="40" eb="42">
      <t>ケイスウ</t>
    </rPh>
    <phoneticPr fontId="2"/>
  </si>
  <si>
    <t>Bv：荷重作用方向に直交する基礎の換算載荷幅(m)</t>
    <rPh sb="3" eb="5">
      <t>カジュウ</t>
    </rPh>
    <rPh sb="5" eb="7">
      <t>サヨウ</t>
    </rPh>
    <rPh sb="7" eb="9">
      <t>ホウコウ</t>
    </rPh>
    <rPh sb="10" eb="12">
      <t>チョッコウ</t>
    </rPh>
    <rPh sb="14" eb="16">
      <t>キソ</t>
    </rPh>
    <rPh sb="17" eb="19">
      <t>カンサン</t>
    </rPh>
    <rPh sb="19" eb="21">
      <t>サイカ</t>
    </rPh>
    <rPh sb="21" eb="22">
      <t>ハバ</t>
    </rPh>
    <phoneticPr fontId="2"/>
  </si>
  <si>
    <t>Bv=√(Av)</t>
    <phoneticPr fontId="2"/>
  </si>
  <si>
    <t>Av：鉛直方向の載荷面積（㎡）</t>
    <rPh sb="3" eb="5">
      <t>エンチョク</t>
    </rPh>
    <rPh sb="5" eb="7">
      <t>ホウコウ</t>
    </rPh>
    <rPh sb="8" eb="10">
      <t>サイカ</t>
    </rPh>
    <rPh sb="10" eb="12">
      <t>メンセキ</t>
    </rPh>
    <phoneticPr fontId="2"/>
  </si>
  <si>
    <t>Av=Bk・Lk</t>
    <phoneticPr fontId="2"/>
  </si>
  <si>
    <t>㎡</t>
    <phoneticPr fontId="2"/>
  </si>
  <si>
    <t>Kv0=(1/0.3)・α・E0</t>
    <phoneticPr fontId="2"/>
  </si>
  <si>
    <t>Kh0：直径0.3mの剛体円板による平板載荷試験の値に相当する水平方向の地盤反力係数(kN/m3)</t>
    <rPh sb="4" eb="6">
      <t>チョッケイ</t>
    </rPh>
    <rPh sb="11" eb="13">
      <t>ゴウタイ</t>
    </rPh>
    <rPh sb="13" eb="15">
      <t>エンバン</t>
    </rPh>
    <rPh sb="18" eb="20">
      <t>ヘイバン</t>
    </rPh>
    <rPh sb="20" eb="22">
      <t>サイカ</t>
    </rPh>
    <rPh sb="22" eb="24">
      <t>シケン</t>
    </rPh>
    <rPh sb="25" eb="26">
      <t>アタイ</t>
    </rPh>
    <rPh sb="27" eb="29">
      <t>ソウトウ</t>
    </rPh>
    <rPh sb="31" eb="33">
      <t>スイヘイ</t>
    </rPh>
    <rPh sb="33" eb="35">
      <t>ホウコウ</t>
    </rPh>
    <rPh sb="36" eb="38">
      <t>ジバン</t>
    </rPh>
    <rPh sb="38" eb="40">
      <t>ハンリョク</t>
    </rPh>
    <rPh sb="40" eb="42">
      <t>ケイスウ</t>
    </rPh>
    <phoneticPr fontId="2"/>
  </si>
  <si>
    <t>Kh0=(1/0.3)・α・E0</t>
    <phoneticPr fontId="2"/>
  </si>
  <si>
    <t>ウ）βの算定</t>
    <rPh sb="4" eb="6">
      <t>サンテイ</t>
    </rPh>
    <phoneticPr fontId="2"/>
  </si>
  <si>
    <t>2a・2b・L・γc=</t>
  </si>
  <si>
    <t>kN</t>
    <phoneticPr fontId="2"/>
  </si>
  <si>
    <t>βの仮定値</t>
    <rPh sb="2" eb="4">
      <t>カテイ</t>
    </rPh>
    <rPh sb="4" eb="5">
      <t>チ</t>
    </rPh>
    <phoneticPr fontId="2"/>
  </si>
  <si>
    <t>β</t>
    <phoneticPr fontId="2"/>
  </si>
  <si>
    <t>rad</t>
    <phoneticPr fontId="2"/>
  </si>
  <si>
    <t>β＝</t>
    <phoneticPr fontId="2"/>
  </si>
  <si>
    <t>と仮定すると、</t>
    <rPh sb="1" eb="3">
      <t>カテイ</t>
    </rPh>
    <phoneticPr fontId="2"/>
  </si>
  <si>
    <t>2a・2b・L・γc=Kv・a^3・θ・ν1となるようにβを定める。</t>
    <rPh sb="30" eb="31">
      <t>サダ</t>
    </rPh>
    <phoneticPr fontId="2"/>
  </si>
  <si>
    <t>ν1=n（1+n・cotβ）^2＝</t>
    <phoneticPr fontId="2"/>
  </si>
  <si>
    <t>ν2=n/3・（2-n・cotβ)×(1+n・cotβ)^2=</t>
    <phoneticPr fontId="2"/>
  </si>
  <si>
    <t>ここに、</t>
    <phoneticPr fontId="2"/>
  </si>
  <si>
    <t>n=2b/2a=</t>
    <phoneticPr fontId="2"/>
  </si>
  <si>
    <t>°</t>
    <phoneticPr fontId="2"/>
  </si>
  <si>
    <t>K1=b・Kh・L=</t>
    <phoneticPr fontId="2"/>
  </si>
  <si>
    <t>K2=2/3・b･Kh・L^2=</t>
    <phoneticPr fontId="2"/>
  </si>
  <si>
    <t>道路橋示方書・同解説　Ⅳ下部工編（日本道路協会　平成6年2月）</t>
    <rPh sb="0" eb="3">
      <t>ドウロキョウ</t>
    </rPh>
    <rPh sb="3" eb="6">
      <t>シホウショ</t>
    </rPh>
    <rPh sb="7" eb="8">
      <t>ドウ</t>
    </rPh>
    <rPh sb="8" eb="10">
      <t>カイセツ</t>
    </rPh>
    <rPh sb="12" eb="15">
      <t>カブコウ</t>
    </rPh>
    <rPh sb="15" eb="16">
      <t>ヘン</t>
    </rPh>
    <rPh sb="17" eb="19">
      <t>ニホン</t>
    </rPh>
    <rPh sb="19" eb="21">
      <t>ドウロ</t>
    </rPh>
    <rPh sb="21" eb="23">
      <t>キョウカイ</t>
    </rPh>
    <rPh sb="24" eb="26">
      <t>ヘイセイ</t>
    </rPh>
    <rPh sb="27" eb="28">
      <t>ネン</t>
    </rPh>
    <rPh sb="29" eb="30">
      <t>ガツ</t>
    </rPh>
    <phoneticPr fontId="2"/>
  </si>
  <si>
    <t>道路橋示方書・同解説　Ⅳ下部工編（日本道路協会　平成24年3月）</t>
    <rPh sb="0" eb="3">
      <t>ドウロキョウ</t>
    </rPh>
    <rPh sb="3" eb="6">
      <t>シホウショ</t>
    </rPh>
    <rPh sb="7" eb="8">
      <t>ドウ</t>
    </rPh>
    <rPh sb="8" eb="10">
      <t>カイセツ</t>
    </rPh>
    <rPh sb="12" eb="15">
      <t>カブコウ</t>
    </rPh>
    <rPh sb="15" eb="16">
      <t>ヘン</t>
    </rPh>
    <rPh sb="17" eb="19">
      <t>ニホン</t>
    </rPh>
    <rPh sb="19" eb="21">
      <t>ドウロ</t>
    </rPh>
    <rPh sb="21" eb="23">
      <t>キョウカイ</t>
    </rPh>
    <rPh sb="24" eb="26">
      <t>ヘイセイ</t>
    </rPh>
    <rPh sb="28" eb="29">
      <t>ネン</t>
    </rPh>
    <rPh sb="30" eb="31">
      <t>ガツ</t>
    </rPh>
    <phoneticPr fontId="2"/>
  </si>
  <si>
    <t>θ=(M・K1+H・K2)/(K1・K3－K2^2)=</t>
    <phoneticPr fontId="2"/>
  </si>
  <si>
    <t>Kv・a^3・θ・ν1=</t>
    <phoneticPr fontId="2"/>
  </si>
  <si>
    <t>差</t>
    <rPh sb="0" eb="1">
      <t>サ</t>
    </rPh>
    <phoneticPr fontId="2"/>
  </si>
  <si>
    <t>オ）安定チェック</t>
    <rPh sb="2" eb="4">
      <t>アンテイ</t>
    </rPh>
    <phoneticPr fontId="2"/>
  </si>
  <si>
    <t>h･θ≦2.4L・γ（Kp/Kh)　となることを確かめる。</t>
    <rPh sb="24" eb="25">
      <t>タシ</t>
    </rPh>
    <phoneticPr fontId="2"/>
  </si>
  <si>
    <t>h=(M・K2+H・K3)/(M・K1+H・K2)=</t>
    <phoneticPr fontId="2"/>
  </si>
  <si>
    <t>h・θ=</t>
    <phoneticPr fontId="2"/>
  </si>
  <si>
    <t>2.4・L・γ（Kp/Kh)=</t>
    <phoneticPr fontId="2"/>
  </si>
  <si>
    <t>カ）前面地盤の検討</t>
    <rPh sb="2" eb="4">
      <t>ゼンメン</t>
    </rPh>
    <rPh sb="4" eb="6">
      <t>ジバン</t>
    </rPh>
    <rPh sb="7" eb="9">
      <t>ケントウ</t>
    </rPh>
    <phoneticPr fontId="2"/>
  </si>
  <si>
    <t>Pmax=（Kh・h^2）・θ／(4・L)=</t>
    <phoneticPr fontId="2"/>
  </si>
  <si>
    <t>Pa=Kp・γ・h/2=</t>
    <phoneticPr fontId="2"/>
  </si>
  <si>
    <t>Pmax/αk=</t>
    <phoneticPr fontId="2"/>
  </si>
  <si>
    <t>kN/m2</t>
    <phoneticPr fontId="2"/>
  </si>
  <si>
    <t>キ）斜風時の検討、および基礎本体の検討</t>
    <rPh sb="2" eb="5">
      <t>シャフウジ</t>
    </rPh>
    <rPh sb="6" eb="8">
      <t>ケントウ</t>
    </rPh>
    <rPh sb="12" eb="14">
      <t>キソ</t>
    </rPh>
    <rPh sb="14" eb="16">
      <t>ホンタイ</t>
    </rPh>
    <rPh sb="17" eb="19">
      <t>ケントウ</t>
    </rPh>
    <phoneticPr fontId="2"/>
  </si>
  <si>
    <t>斜風時は正面風時より風荷重が小さいため、安定計算を省略する。</t>
    <rPh sb="0" eb="3">
      <t>シャフウジ</t>
    </rPh>
    <rPh sb="4" eb="6">
      <t>ショウメン</t>
    </rPh>
    <rPh sb="6" eb="7">
      <t>フウ</t>
    </rPh>
    <rPh sb="7" eb="8">
      <t>ジ</t>
    </rPh>
    <rPh sb="10" eb="11">
      <t>カゼ</t>
    </rPh>
    <rPh sb="11" eb="13">
      <t>カジュウ</t>
    </rPh>
    <rPh sb="14" eb="15">
      <t>チイ</t>
    </rPh>
    <rPh sb="20" eb="22">
      <t>アンテイ</t>
    </rPh>
    <rPh sb="22" eb="24">
      <t>ケイサン</t>
    </rPh>
    <rPh sb="25" eb="27">
      <t>ショウリャク</t>
    </rPh>
    <phoneticPr fontId="2"/>
  </si>
  <si>
    <t>基礎本体についても検討を省略する。</t>
    <rPh sb="0" eb="2">
      <t>キソ</t>
    </rPh>
    <rPh sb="2" eb="4">
      <t>ホンタイ</t>
    </rPh>
    <rPh sb="9" eb="11">
      <t>ケントウ</t>
    </rPh>
    <rPh sb="12" eb="14">
      <t>ショウリャク</t>
    </rPh>
    <phoneticPr fontId="2"/>
  </si>
  <si>
    <t>名称</t>
    <rPh sb="0" eb="2">
      <t>メイショウ</t>
    </rPh>
    <phoneticPr fontId="2"/>
  </si>
  <si>
    <t>番号</t>
    <rPh sb="0" eb="2">
      <t>バンゴウ</t>
    </rPh>
    <phoneticPr fontId="2"/>
  </si>
  <si>
    <t>X</t>
    <phoneticPr fontId="2"/>
  </si>
  <si>
    <t>Y</t>
    <phoneticPr fontId="2"/>
  </si>
  <si>
    <t>２．計算結果</t>
    <rPh sb="2" eb="4">
      <t>ケイサン</t>
    </rPh>
    <rPh sb="4" eb="6">
      <t>ケッカ</t>
    </rPh>
    <phoneticPr fontId="2"/>
  </si>
  <si>
    <t>cσb=</t>
    <phoneticPr fontId="2"/>
  </si>
  <si>
    <t>N/mm2</t>
    <phoneticPr fontId="2"/>
  </si>
  <si>
    <t>cσb/(fb×1.5)=</t>
    <phoneticPr fontId="2"/>
  </si>
  <si>
    <t>柱地際の曲げ応力度</t>
    <rPh sb="0" eb="1">
      <t>ハシラ</t>
    </rPh>
    <rPh sb="1" eb="3">
      <t>ジギワ</t>
    </rPh>
    <rPh sb="4" eb="5">
      <t>マ</t>
    </rPh>
    <rPh sb="6" eb="9">
      <t>オウリョクド</t>
    </rPh>
    <phoneticPr fontId="2"/>
  </si>
  <si>
    <t>基礎工</t>
    <rPh sb="0" eb="3">
      <t>キソコウ</t>
    </rPh>
    <phoneticPr fontId="2"/>
  </si>
  <si>
    <t>前面地盤の検討</t>
    <rPh sb="0" eb="2">
      <t>ゼンメン</t>
    </rPh>
    <rPh sb="2" eb="4">
      <t>ジバン</t>
    </rPh>
    <rPh sb="5" eb="7">
      <t>ケントウ</t>
    </rPh>
    <phoneticPr fontId="2"/>
  </si>
  <si>
    <t>路側式標識　設計計算（単柱式、直柱）Ver1.01</t>
    <rPh sb="0" eb="2">
      <t>ロソク</t>
    </rPh>
    <rPh sb="2" eb="3">
      <t>シキ</t>
    </rPh>
    <rPh sb="3" eb="5">
      <t>ヒョウシキ</t>
    </rPh>
    <rPh sb="6" eb="8">
      <t>セッケイ</t>
    </rPh>
    <rPh sb="8" eb="10">
      <t>ケイサン</t>
    </rPh>
    <rPh sb="11" eb="12">
      <t>タン</t>
    </rPh>
    <rPh sb="12" eb="13">
      <t>チュウ</t>
    </rPh>
    <rPh sb="13" eb="14">
      <t>シキ</t>
    </rPh>
    <rPh sb="15" eb="16">
      <t>チョク</t>
    </rPh>
    <rPh sb="16" eb="17">
      <t>チュウ</t>
    </rPh>
    <phoneticPr fontId="2"/>
  </si>
  <si>
    <t>コンクリート</t>
    <phoneticPr fontId="2"/>
  </si>
  <si>
    <t>　設計基準強度</t>
    <rPh sb="1" eb="3">
      <t>セッケイ</t>
    </rPh>
    <rPh sb="3" eb="5">
      <t>キジュン</t>
    </rPh>
    <rPh sb="5" eb="7">
      <t>キョウド</t>
    </rPh>
    <phoneticPr fontId="2"/>
  </si>
  <si>
    <t>　支圧応力度</t>
    <rPh sb="1" eb="3">
      <t>シアツ</t>
    </rPh>
    <rPh sb="3" eb="6">
      <t>オウリョクド</t>
    </rPh>
    <phoneticPr fontId="2"/>
  </si>
  <si>
    <t>エ）柱の根入れ</t>
    <rPh sb="2" eb="3">
      <t>ハシラ</t>
    </rPh>
    <rPh sb="4" eb="6">
      <t>ネイ</t>
    </rPh>
    <phoneticPr fontId="2"/>
  </si>
  <si>
    <t>ここに、</t>
    <phoneticPr fontId="2"/>
  </si>
  <si>
    <t>N/mm2</t>
    <phoneticPr fontId="2"/>
  </si>
  <si>
    <t>σba(許容支圧応力度)=</t>
    <rPh sb="4" eb="6">
      <t>キョヨウ</t>
    </rPh>
    <rPh sb="6" eb="8">
      <t>シアツ</t>
    </rPh>
    <rPh sb="8" eb="11">
      <t>オウリョクド</t>
    </rPh>
    <phoneticPr fontId="2"/>
  </si>
  <si>
    <t>長期×1.5</t>
    <rPh sb="0" eb="2">
      <t>チョウキ</t>
    </rPh>
    <phoneticPr fontId="2"/>
  </si>
  <si>
    <t>L=（H+√(H^2+24・σba・φ・M))/（2・σba・φ)=</t>
    <phoneticPr fontId="2"/>
  </si>
  <si>
    <t>mm</t>
    <phoneticPr fontId="2"/>
  </si>
  <si>
    <t>基礎深さDkを根入れ長とし、確認を行う。</t>
    <rPh sb="0" eb="2">
      <t>キソ</t>
    </rPh>
    <rPh sb="2" eb="3">
      <t>フカ</t>
    </rPh>
    <rPh sb="7" eb="9">
      <t>ネイ</t>
    </rPh>
    <rPh sb="10" eb="11">
      <t>チョウ</t>
    </rPh>
    <rPh sb="14" eb="16">
      <t>カクニン</t>
    </rPh>
    <rPh sb="17" eb="18">
      <t>オコナ</t>
    </rPh>
    <phoneticPr fontId="2"/>
  </si>
  <si>
    <t>Dk=</t>
    <phoneticPr fontId="2"/>
  </si>
  <si>
    <t>柱根入れ長</t>
    <phoneticPr fontId="2"/>
  </si>
  <si>
    <t>必要長L=</t>
    <rPh sb="0" eb="2">
      <t>ヒツヨウ</t>
    </rPh>
    <rPh sb="2" eb="3">
      <t>チョウ</t>
    </rPh>
    <phoneticPr fontId="2"/>
  </si>
  <si>
    <t>2a</t>
    <phoneticPr fontId="2"/>
  </si>
  <si>
    <t>a</t>
    <phoneticPr fontId="2"/>
  </si>
  <si>
    <t>2b</t>
    <phoneticPr fontId="2"/>
  </si>
  <si>
    <t>L</t>
    <phoneticPr fontId="2"/>
  </si>
  <si>
    <t>γc</t>
    <phoneticPr fontId="2"/>
  </si>
  <si>
    <t>n</t>
    <phoneticPr fontId="2"/>
  </si>
  <si>
    <t>Kh</t>
    <phoneticPr fontId="2"/>
  </si>
  <si>
    <t>α</t>
    <phoneticPr fontId="2"/>
  </si>
  <si>
    <t>β</t>
    <phoneticPr fontId="2"/>
  </si>
  <si>
    <t>番号</t>
    <rPh sb="0" eb="2">
      <t>バンゴウ</t>
    </rPh>
    <phoneticPr fontId="2"/>
  </si>
  <si>
    <t>ν1</t>
    <phoneticPr fontId="2"/>
  </si>
  <si>
    <t>ν2</t>
    <phoneticPr fontId="2"/>
  </si>
  <si>
    <t>K1</t>
    <phoneticPr fontId="2"/>
  </si>
  <si>
    <t>b</t>
    <phoneticPr fontId="2"/>
  </si>
  <si>
    <t>K2</t>
    <phoneticPr fontId="2"/>
  </si>
  <si>
    <t>Kv</t>
    <phoneticPr fontId="2"/>
  </si>
  <si>
    <t>θ</t>
    <phoneticPr fontId="2"/>
  </si>
  <si>
    <t>2a･2b･L･γc</t>
    <phoneticPr fontId="2"/>
  </si>
  <si>
    <t>K3</t>
    <phoneticPr fontId="2"/>
  </si>
  <si>
    <t>Kv･a^3･θ･ν1</t>
    <phoneticPr fontId="2"/>
  </si>
  <si>
    <t>β初期値</t>
    <rPh sb="1" eb="4">
      <t>ショキチ</t>
    </rPh>
    <phoneticPr fontId="2"/>
  </si>
  <si>
    <t>β最大値</t>
    <rPh sb="1" eb="4">
      <t>サイダイチ</t>
    </rPh>
    <phoneticPr fontId="2"/>
  </si>
  <si>
    <t>β増分</t>
    <rPh sb="1" eb="3">
      <t>ゾウブン</t>
    </rPh>
    <phoneticPr fontId="2"/>
  </si>
  <si>
    <t>差</t>
    <rPh sb="0" eb="1">
      <t>サ</t>
    </rPh>
    <phoneticPr fontId="2"/>
  </si>
  <si>
    <t>M(kN･m)</t>
    <phoneticPr fontId="2"/>
  </si>
  <si>
    <t>H(kN)</t>
    <phoneticPr fontId="2"/>
  </si>
  <si>
    <t>K3=1/2・b・Kh・L^3+Kv・a^4・ν2=</t>
    <phoneticPr fontId="2"/>
  </si>
  <si>
    <t>差絶対値</t>
    <rPh sb="0" eb="1">
      <t>サ</t>
    </rPh>
    <rPh sb="1" eb="4">
      <t>ゼッタイチ</t>
    </rPh>
    <phoneticPr fontId="2"/>
  </si>
  <si>
    <t>β決定値</t>
    <rPh sb="1" eb="3">
      <t>ケッテイ</t>
    </rPh>
    <rPh sb="3" eb="4">
      <t>チ</t>
    </rPh>
    <phoneticPr fontId="2"/>
  </si>
  <si>
    <t>1回目</t>
    <rPh sb="1" eb="3">
      <t>カイメ</t>
    </rPh>
    <phoneticPr fontId="2"/>
  </si>
  <si>
    <t>2回目</t>
    <rPh sb="1" eb="3">
      <t>カイメ</t>
    </rPh>
    <phoneticPr fontId="2"/>
  </si>
  <si>
    <t>3回目</t>
    <rPh sb="1" eb="3">
      <t>カイメ</t>
    </rPh>
    <phoneticPr fontId="2"/>
  </si>
  <si>
    <t>β値探索1回目</t>
    <rPh sb="1" eb="2">
      <t>チ</t>
    </rPh>
    <rPh sb="2" eb="4">
      <t>タンサク</t>
    </rPh>
    <rPh sb="5" eb="7">
      <t>カイメ</t>
    </rPh>
    <phoneticPr fontId="2"/>
  </si>
  <si>
    <t>β 基礎角部</t>
    <rPh sb="2" eb="4">
      <t>キソ</t>
    </rPh>
    <rPh sb="4" eb="5">
      <t>カド</t>
    </rPh>
    <rPh sb="5" eb="6">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</si>
</sst>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0"/>
    <numFmt numFmtId="178" formatCode="0.00000"/>
    <numFmt numFmtId="179" formatCode="0.0000"/>
    <numFmt numFmtId="180" formatCode="0.00000_);[Red]\(0.00000\)"/>
    <numFmt numFmtId="181" formatCode="0.0000000_);[Red]\(0.0000000\)"/>
    <numFmt numFmtId="182" formatCode="0.00000_ "/>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ゴシック"/>
      <family val="3"/>
      <charset val="128"/>
      <scheme val="minor"/>
    </font>
    <font>
      <sz val="1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0" fontId="0" fillId="2" borderId="0" xfId="0" applyFill="1">
      <alignment vertical="center"/>
    </xf>
    <xf numFmtId="176" fontId="0" fillId="2" borderId="1" xfId="0" applyNumberFormat="1" applyFill="1" applyBorder="1" applyProtection="1">
      <alignment vertical="center"/>
      <protection locked="0"/>
    </xf>
    <xf numFmtId="0" fontId="0" fillId="3" borderId="0" xfId="0" applyFill="1">
      <alignment vertical="center"/>
    </xf>
    <xf numFmtId="176" fontId="0" fillId="3" borderId="1" xfId="0" applyNumberFormat="1" applyFill="1" applyBorder="1" applyProtection="1">
      <alignment vertical="center"/>
      <protection locked="0"/>
    </xf>
    <xf numFmtId="0" fontId="0" fillId="4" borderId="0" xfId="0" applyFill="1">
      <alignment vertical="center"/>
    </xf>
    <xf numFmtId="2" fontId="0" fillId="4" borderId="1" xfId="0" applyNumberFormat="1" applyFill="1" applyBorder="1" applyProtection="1">
      <alignment vertical="center"/>
      <protection locked="0"/>
    </xf>
    <xf numFmtId="0" fontId="0" fillId="0" borderId="1" xfId="0" applyBorder="1" applyProtection="1">
      <alignment vertical="center"/>
      <protection locked="0"/>
    </xf>
    <xf numFmtId="0" fontId="0" fillId="0" borderId="0" xfId="0" applyBorder="1">
      <alignment vertical="center"/>
    </xf>
    <xf numFmtId="0" fontId="0" fillId="0" borderId="1" xfId="0" applyBorder="1">
      <alignment vertical="center"/>
    </xf>
    <xf numFmtId="0" fontId="0" fillId="0" borderId="1" xfId="0" applyFill="1" applyBorder="1">
      <alignment vertical="center"/>
    </xf>
    <xf numFmtId="177" fontId="0" fillId="0" borderId="1" xfId="0" applyNumberFormat="1" applyBorder="1" applyProtection="1">
      <alignment vertical="center"/>
      <protection locked="0"/>
    </xf>
    <xf numFmtId="2" fontId="0" fillId="0" borderId="1" xfId="0" applyNumberFormat="1" applyBorder="1" applyProtection="1">
      <alignment vertical="center"/>
      <protection locked="0"/>
    </xf>
    <xf numFmtId="1" fontId="0" fillId="0" borderId="1" xfId="0" applyNumberFormat="1" applyBorder="1" applyProtection="1">
      <alignment vertical="center"/>
      <protection locked="0"/>
    </xf>
    <xf numFmtId="0" fontId="0" fillId="6" borderId="0" xfId="0" applyFill="1" applyBorder="1" applyAlignment="1">
      <alignment horizontal="center" vertical="center"/>
    </xf>
    <xf numFmtId="0" fontId="0" fillId="0" borderId="0" xfId="0" applyBorder="1" applyAlignment="1">
      <alignment horizontal="centerContinuous" vertical="center"/>
    </xf>
    <xf numFmtId="0" fontId="0" fillId="6" borderId="5" xfId="0" applyFill="1" applyBorder="1">
      <alignment vertical="center"/>
    </xf>
    <xf numFmtId="0" fontId="0" fillId="0" borderId="5" xfId="0" applyBorder="1">
      <alignment vertical="center"/>
    </xf>
    <xf numFmtId="0" fontId="0" fillId="0" borderId="6" xfId="0" applyBorder="1">
      <alignment vertical="center"/>
    </xf>
    <xf numFmtId="0" fontId="4" fillId="5" borderId="1" xfId="0" applyFont="1" applyFill="1" applyBorder="1">
      <alignment vertical="center"/>
    </xf>
    <xf numFmtId="0" fontId="0" fillId="5" borderId="1" xfId="0" applyFill="1" applyBorder="1">
      <alignment vertical="center"/>
    </xf>
    <xf numFmtId="0" fontId="0" fillId="0" borderId="0" xfId="0" applyAlignment="1">
      <alignment horizontal="right" vertical="center"/>
    </xf>
    <xf numFmtId="2" fontId="0" fillId="0" borderId="1" xfId="0" applyNumberFormat="1" applyBorder="1">
      <alignment vertical="center"/>
    </xf>
    <xf numFmtId="0" fontId="0" fillId="6" borderId="0" xfId="0" applyFill="1" applyBorder="1">
      <alignment vertical="center"/>
    </xf>
    <xf numFmtId="0" fontId="5" fillId="5" borderId="1" xfId="0" applyFont="1" applyFill="1" applyBorder="1" applyAlignment="1"/>
    <xf numFmtId="0" fontId="0" fillId="6" borderId="0" xfId="0" applyFill="1">
      <alignment vertical="center"/>
    </xf>
    <xf numFmtId="177" fontId="0" fillId="0" borderId="0" xfId="0" applyNumberFormat="1">
      <alignment vertical="center"/>
    </xf>
    <xf numFmtId="176" fontId="0" fillId="0" borderId="0" xfId="0" applyNumberFormat="1">
      <alignment vertical="center"/>
    </xf>
    <xf numFmtId="38" fontId="0" fillId="0" borderId="0" xfId="1" applyFont="1">
      <alignment vertical="center"/>
    </xf>
    <xf numFmtId="2" fontId="0" fillId="0" borderId="0" xfId="0" applyNumberFormat="1">
      <alignment vertical="center"/>
    </xf>
    <xf numFmtId="0" fontId="0" fillId="0" borderId="0"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Protection="1">
      <alignment vertical="center"/>
      <protection locked="0"/>
    </xf>
    <xf numFmtId="0" fontId="0" fillId="0" borderId="1" xfId="0" applyBorder="1" applyProtection="1">
      <alignment vertical="center"/>
    </xf>
    <xf numFmtId="1" fontId="0" fillId="0" borderId="0" xfId="0" applyNumberFormat="1">
      <alignment vertical="center"/>
    </xf>
    <xf numFmtId="1" fontId="0" fillId="0" borderId="0" xfId="0" applyNumberFormat="1" applyBorder="1">
      <alignment vertical="center"/>
    </xf>
    <xf numFmtId="176" fontId="0" fillId="0" borderId="1" xfId="0" applyNumberFormat="1" applyBorder="1">
      <alignment vertical="center"/>
    </xf>
    <xf numFmtId="38" fontId="0" fillId="0" borderId="1" xfId="0" applyNumberFormat="1" applyBorder="1">
      <alignment vertical="center"/>
    </xf>
    <xf numFmtId="179" fontId="0" fillId="0" borderId="0" xfId="0" applyNumberFormat="1">
      <alignment vertical="center"/>
    </xf>
    <xf numFmtId="178" fontId="0" fillId="0" borderId="1" xfId="0" applyNumberFormat="1" applyBorder="1">
      <alignment vertical="center"/>
    </xf>
    <xf numFmtId="1" fontId="0" fillId="0" borderId="1" xfId="0" applyNumberFormat="1" applyBorder="1">
      <alignment vertical="center"/>
    </xf>
    <xf numFmtId="181" fontId="0" fillId="0" borderId="1" xfId="0" applyNumberFormat="1" applyBorder="1">
      <alignment vertical="center"/>
    </xf>
    <xf numFmtId="182" fontId="0" fillId="0" borderId="1" xfId="0" applyNumberFormat="1" applyBorder="1">
      <alignment vertical="center"/>
    </xf>
    <xf numFmtId="176" fontId="0" fillId="0" borderId="1" xfId="0" applyNumberFormat="1" applyFill="1" applyBorder="1" applyProtection="1">
      <alignment vertical="center"/>
    </xf>
    <xf numFmtId="180" fontId="0" fillId="0" borderId="1"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桁区切り" xfId="1" builtinId="6"/>
    <cellStyle name="標準" xfId="0" builtinId="0"/>
  </cellStyles>
  <dxfs count="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2.9083875530410186</c:v>
                </c:pt>
                <c:pt idx="2">
                  <c:v>2.9083875530410186</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pt idx="0">
                  <c:v>0</c:v>
                </c:pt>
                <c:pt idx="1">
                  <c:v>-0.50919377652050923</c:v>
                </c:pt>
                <c:pt idx="2">
                  <c:v>0</c:v>
                </c:pt>
                <c:pt idx="3">
                  <c:v>0.50919377652050923</c:v>
                </c:pt>
                <c:pt idx="4">
                  <c:v>0</c:v>
                </c:pt>
              </c:numCache>
            </c:numRef>
          </c:xVal>
          <c:yVal>
            <c:numRef>
              <c:f>図化!$D$7:$D$11</c:f>
              <c:numCache>
                <c:formatCode>General</c:formatCode>
                <c:ptCount val="5"/>
                <c:pt idx="0">
                  <c:v>2.04</c:v>
                </c:pt>
                <c:pt idx="1">
                  <c:v>2.549193776520509</c:v>
                </c:pt>
                <c:pt idx="2">
                  <c:v>3.0583875530410185</c:v>
                </c:pt>
                <c:pt idx="3">
                  <c:v>2.549193776520509</c:v>
                </c:pt>
                <c:pt idx="4">
                  <c:v>2.04</c:v>
                </c:pt>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-0.32</c:v>
                </c:pt>
                <c:pt idx="1">
                  <c:v>-0.32</c:v>
                </c:pt>
                <c:pt idx="2">
                  <c:v>0.32</c:v>
                </c:pt>
                <c:pt idx="3">
                  <c:v>0.32</c:v>
                </c:pt>
                <c:pt idx="4">
                  <c:v>-0.32</c:v>
                </c:pt>
              </c:numCache>
            </c:numRef>
          </c:xVal>
          <c:yVal>
            <c:numRef>
              <c:f>図化!$D$12:$D$16</c:f>
              <c:numCache>
                <c:formatCode>General</c:formatCode>
                <c:ptCount val="5"/>
                <c:pt idx="0">
                  <c:v>1.8</c:v>
                </c:pt>
                <c:pt idx="1">
                  <c:v>2.04</c:v>
                </c:pt>
                <c:pt idx="2">
                  <c:v>2.04</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4627072"/>
        <c:axId val="234628608"/>
      </c:scatterChart>
      <c:valAx>
        <c:axId val="23462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628608"/>
        <c:crosses val="autoZero"/>
        <c:crossBetween val="midCat"/>
      </c:valAx>
      <c:valAx>
        <c:axId val="234628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627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798096666488116E-2"/>
          <c:y val="1.1605958130035647E-2"/>
          <c:w val="0.87329940900244607"/>
          <c:h val="0.95351294241944007"/>
        </c:manualLayout>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2.9083875530410186</c:v>
                </c:pt>
                <c:pt idx="2">
                  <c:v>2.9083875530410186</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pt idx="0">
                  <c:v>0</c:v>
                </c:pt>
                <c:pt idx="1">
                  <c:v>-0.50919377652050923</c:v>
                </c:pt>
                <c:pt idx="2">
                  <c:v>0</c:v>
                </c:pt>
                <c:pt idx="3">
                  <c:v>0.50919377652050923</c:v>
                </c:pt>
                <c:pt idx="4">
                  <c:v>0</c:v>
                </c:pt>
              </c:numCache>
            </c:numRef>
          </c:xVal>
          <c:yVal>
            <c:numRef>
              <c:f>図化!$D$7:$D$11</c:f>
              <c:numCache>
                <c:formatCode>General</c:formatCode>
                <c:ptCount val="5"/>
                <c:pt idx="0">
                  <c:v>2.04</c:v>
                </c:pt>
                <c:pt idx="1">
                  <c:v>2.549193776520509</c:v>
                </c:pt>
                <c:pt idx="2">
                  <c:v>3.0583875530410185</c:v>
                </c:pt>
                <c:pt idx="3">
                  <c:v>2.549193776520509</c:v>
                </c:pt>
                <c:pt idx="4">
                  <c:v>2.04</c:v>
                </c:pt>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-0.32</c:v>
                </c:pt>
                <c:pt idx="1">
                  <c:v>-0.32</c:v>
                </c:pt>
                <c:pt idx="2">
                  <c:v>0.32</c:v>
                </c:pt>
                <c:pt idx="3">
                  <c:v>0.32</c:v>
                </c:pt>
                <c:pt idx="4">
                  <c:v>-0.32</c:v>
                </c:pt>
              </c:numCache>
            </c:numRef>
          </c:xVal>
          <c:yVal>
            <c:numRef>
              <c:f>図化!$D$12:$D$16</c:f>
              <c:numCache>
                <c:formatCode>General</c:formatCode>
                <c:ptCount val="5"/>
                <c:pt idx="0">
                  <c:v>1.8</c:v>
                </c:pt>
                <c:pt idx="1">
                  <c:v>2.04</c:v>
                </c:pt>
                <c:pt idx="2">
                  <c:v>2.04</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4319232"/>
        <c:axId val="234329216"/>
      </c:scatterChart>
      <c:valAx>
        <c:axId val="234319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329216"/>
        <c:crosses val="autoZero"/>
        <c:crossBetween val="midCat"/>
      </c:valAx>
      <c:valAx>
        <c:axId val="2343292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319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図化!$C$2:$C$6</c:f>
              <c:numCache>
                <c:formatCode>General</c:formatCode>
                <c:ptCount val="5"/>
                <c:pt idx="0">
                  <c:v>-3.8149999999999996E-2</c:v>
                </c:pt>
                <c:pt idx="1">
                  <c:v>-3.8149999999999996E-2</c:v>
                </c:pt>
                <c:pt idx="2">
                  <c:v>3.8149999999999996E-2</c:v>
                </c:pt>
                <c:pt idx="3">
                  <c:v>3.8149999999999996E-2</c:v>
                </c:pt>
                <c:pt idx="4">
                  <c:v>-3.8149999999999996E-2</c:v>
                </c:pt>
              </c:numCache>
            </c:numRef>
          </c:xVal>
          <c:yVal>
            <c:numRef>
              <c:f>図化!$D$2:$D$6</c:f>
              <c:numCache>
                <c:formatCode>General</c:formatCode>
                <c:ptCount val="5"/>
                <c:pt idx="0" formatCode="0.00">
                  <c:v>-0.9</c:v>
                </c:pt>
                <c:pt idx="1">
                  <c:v>2.9083875530410186</c:v>
                </c:pt>
                <c:pt idx="2">
                  <c:v>2.9083875530410186</c:v>
                </c:pt>
                <c:pt idx="3">
                  <c:v>-0.9</c:v>
                </c:pt>
                <c:pt idx="4">
                  <c:v>-0.9</c:v>
                </c:pt>
              </c:numCache>
            </c:numRef>
          </c:yVal>
          <c:smooth val="0"/>
        </c:ser>
        <c:ser>
          <c:idx val="1"/>
          <c:order val="1"/>
          <c:spPr>
            <a:ln w="19050" cap="rnd">
              <a:solidFill>
                <a:schemeClr val="accent2"/>
              </a:solidFill>
              <a:round/>
            </a:ln>
            <a:effectLst/>
          </c:spPr>
          <c:marker>
            <c:symbol val="none"/>
          </c:marker>
          <c:xVal>
            <c:numRef>
              <c:f>図化!$C$7:$C$11</c:f>
              <c:numCache>
                <c:formatCode>General</c:formatCode>
                <c:ptCount val="5"/>
                <c:pt idx="0">
                  <c:v>0</c:v>
                </c:pt>
                <c:pt idx="1">
                  <c:v>-0.50919377652050923</c:v>
                </c:pt>
                <c:pt idx="2">
                  <c:v>0</c:v>
                </c:pt>
                <c:pt idx="3">
                  <c:v>0.50919377652050923</c:v>
                </c:pt>
                <c:pt idx="4">
                  <c:v>0</c:v>
                </c:pt>
              </c:numCache>
            </c:numRef>
          </c:xVal>
          <c:yVal>
            <c:numRef>
              <c:f>図化!$D$7:$D$11</c:f>
              <c:numCache>
                <c:formatCode>General</c:formatCode>
                <c:ptCount val="5"/>
                <c:pt idx="0">
                  <c:v>2.04</c:v>
                </c:pt>
                <c:pt idx="1">
                  <c:v>2.549193776520509</c:v>
                </c:pt>
                <c:pt idx="2">
                  <c:v>3.0583875530410185</c:v>
                </c:pt>
                <c:pt idx="3">
                  <c:v>2.549193776520509</c:v>
                </c:pt>
                <c:pt idx="4">
                  <c:v>2.04</c:v>
                </c:pt>
              </c:numCache>
            </c:numRef>
          </c:yVal>
          <c:smooth val="0"/>
        </c:ser>
        <c:ser>
          <c:idx val="2"/>
          <c:order val="2"/>
          <c:spPr>
            <a:ln w="19050" cap="rnd">
              <a:solidFill>
                <a:schemeClr val="accent3"/>
              </a:solidFill>
              <a:round/>
            </a:ln>
            <a:effectLst/>
          </c:spPr>
          <c:marker>
            <c:symbol val="none"/>
          </c:marker>
          <c:xVal>
            <c:numRef>
              <c:f>図化!$C$12:$C$16</c:f>
              <c:numCache>
                <c:formatCode>General</c:formatCode>
                <c:ptCount val="5"/>
                <c:pt idx="0">
                  <c:v>-0.32</c:v>
                </c:pt>
                <c:pt idx="1">
                  <c:v>-0.32</c:v>
                </c:pt>
                <c:pt idx="2">
                  <c:v>0.32</c:v>
                </c:pt>
                <c:pt idx="3">
                  <c:v>0.32</c:v>
                </c:pt>
                <c:pt idx="4">
                  <c:v>-0.32</c:v>
                </c:pt>
              </c:numCache>
            </c:numRef>
          </c:xVal>
          <c:yVal>
            <c:numRef>
              <c:f>図化!$D$12:$D$16</c:f>
              <c:numCache>
                <c:formatCode>General</c:formatCode>
                <c:ptCount val="5"/>
                <c:pt idx="0">
                  <c:v>1.8</c:v>
                </c:pt>
                <c:pt idx="1">
                  <c:v>2.04</c:v>
                </c:pt>
                <c:pt idx="2">
                  <c:v>2.04</c:v>
                </c:pt>
                <c:pt idx="3">
                  <c:v>1.8</c:v>
                </c:pt>
                <c:pt idx="4">
                  <c:v>1.8</c:v>
                </c:pt>
              </c:numCache>
            </c:numRef>
          </c:yVal>
          <c:smooth val="0"/>
        </c:ser>
        <c:ser>
          <c:idx val="3"/>
          <c:order val="3"/>
          <c:spPr>
            <a:ln w="19050" cap="rnd">
              <a:solidFill>
                <a:schemeClr val="accent4"/>
              </a:solidFill>
              <a:round/>
            </a:ln>
            <a:effectLst/>
          </c:spPr>
          <c:marker>
            <c:symbol val="none"/>
          </c:marker>
          <c:xVal>
            <c:numRef>
              <c:f>図化!$C$17:$C$21</c:f>
              <c:numCache>
                <c:formatCode>General</c:formatCode>
                <c:ptCount val="5"/>
                <c:pt idx="0">
                  <c:v>-0.3</c:v>
                </c:pt>
                <c:pt idx="1">
                  <c:v>-0.3</c:v>
                </c:pt>
                <c:pt idx="2">
                  <c:v>0.3</c:v>
                </c:pt>
                <c:pt idx="3">
                  <c:v>0.3</c:v>
                </c:pt>
                <c:pt idx="4">
                  <c:v>-0.3</c:v>
                </c:pt>
              </c:numCache>
            </c:numRef>
          </c:xVal>
          <c:yVal>
            <c:numRef>
              <c:f>図化!$D$17:$D$21</c:f>
              <c:numCache>
                <c:formatCode>General</c:formatCode>
                <c:ptCount val="5"/>
                <c:pt idx="0" formatCode="0.00">
                  <c:v>-0.9</c:v>
                </c:pt>
                <c:pt idx="1">
                  <c:v>0</c:v>
                </c:pt>
                <c:pt idx="2">
                  <c:v>0</c:v>
                </c:pt>
                <c:pt idx="3" formatCode="0.00">
                  <c:v>-0.9</c:v>
                </c:pt>
                <c:pt idx="4" formatCode="0.00">
                  <c:v>-0.9</c:v>
                </c:pt>
              </c:numCache>
            </c:numRef>
          </c:yVal>
          <c:smooth val="0"/>
        </c:ser>
        <c:dLbls>
          <c:showLegendKey val="0"/>
          <c:showVal val="0"/>
          <c:showCatName val="0"/>
          <c:showSerName val="0"/>
          <c:showPercent val="0"/>
          <c:showBubbleSize val="0"/>
        </c:dLbls>
        <c:axId val="234136320"/>
        <c:axId val="234137856"/>
      </c:scatterChart>
      <c:valAx>
        <c:axId val="234136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137856"/>
        <c:crosses val="autoZero"/>
        <c:crossBetween val="midCat"/>
      </c:valAx>
      <c:valAx>
        <c:axId val="234137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1363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23</xdr:row>
      <xdr:rowOff>47625</xdr:rowOff>
    </xdr:from>
    <xdr:to>
      <xdr:col>12</xdr:col>
      <xdr:colOff>114300</xdr:colOff>
      <xdr:row>42</xdr:row>
      <xdr:rowOff>34365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3990975"/>
          <a:ext cx="5238750" cy="3244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171449</xdr:colOff>
      <xdr:row>1</xdr:row>
      <xdr:rowOff>66675</xdr:rowOff>
    </xdr:from>
    <xdr:to>
      <xdr:col>11</xdr:col>
      <xdr:colOff>504825</xdr:colOff>
      <xdr:row>25</xdr:row>
      <xdr:rowOff>25771</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799" y="238125"/>
          <a:ext cx="4448176" cy="4073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104775</xdr:colOff>
      <xdr:row>0</xdr:row>
      <xdr:rowOff>142875</xdr:rowOff>
    </xdr:from>
    <xdr:to>
      <xdr:col>16</xdr:col>
      <xdr:colOff>161925</xdr:colOff>
      <xdr:row>35</xdr:row>
      <xdr:rowOff>152400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107</xdr:row>
      <xdr:rowOff>95251</xdr:rowOff>
    </xdr:from>
    <xdr:to>
      <xdr:col>6</xdr:col>
      <xdr:colOff>647700</xdr:colOff>
      <xdr:row>126</xdr:row>
      <xdr:rowOff>81991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5868651"/>
          <a:ext cx="5248275" cy="3244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692150</xdr:colOff>
      <xdr:row>3</xdr:row>
      <xdr:rowOff>15875</xdr:rowOff>
    </xdr:from>
    <xdr:to>
      <xdr:col>8</xdr:col>
      <xdr:colOff>243903</xdr:colOff>
      <xdr:row>20</xdr:row>
      <xdr:rowOff>101600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8250" y="530225"/>
          <a:ext cx="3276028"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85725</xdr:colOff>
      <xdr:row>20</xdr:row>
      <xdr:rowOff>161925</xdr:rowOff>
    </xdr:from>
    <xdr:to>
      <xdr:col>7</xdr:col>
      <xdr:colOff>176598</xdr:colOff>
      <xdr:row>40</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333375</xdr:colOff>
      <xdr:row>1</xdr:row>
      <xdr:rowOff>57149</xdr:rowOff>
    </xdr:from>
    <xdr:to>
      <xdr:col>10</xdr:col>
      <xdr:colOff>390525</xdr:colOff>
      <xdr:row>36</xdr:row>
      <xdr:rowOff>66674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showGridLines="0" tabSelected="1" zoomScaleNormal="100" workbookViewId="0">
      <selection activeCell="D22" sqref="D22"/>
    </sheetView>
  </sheetViews>
  <sheetFormatPr defaultRowHeight="13.5" x14ac:dyDescent="0.15"/>
  <cols>
    <col min="1" max="1" width="6.125" customWidth="1"/>
    <col min="2" max="2" width="18.625" customWidth="1"/>
  </cols>
  <sheetData>
    <row r="1" spans="1:5" x14ac:dyDescent="0.15">
      <c r="A1" t="s">
        <v>224</v>
      </c>
    </row>
    <row r="3" spans="1:5" x14ac:dyDescent="0.15">
      <c r="A3" t="s">
        <v>0</v>
      </c>
    </row>
    <row r="4" spans="1:5" x14ac:dyDescent="0.15">
      <c r="A4" t="s">
        <v>1</v>
      </c>
    </row>
    <row r="5" spans="1:5" x14ac:dyDescent="0.15">
      <c r="A5" t="s">
        <v>2</v>
      </c>
    </row>
    <row r="6" spans="1:5" x14ac:dyDescent="0.15">
      <c r="A6" t="s">
        <v>195</v>
      </c>
    </row>
    <row r="7" spans="1:5" x14ac:dyDescent="0.15">
      <c r="A7" t="s">
        <v>196</v>
      </c>
    </row>
    <row r="9" spans="1:5" x14ac:dyDescent="0.15">
      <c r="A9" t="s">
        <v>3</v>
      </c>
    </row>
    <row r="10" spans="1:5" x14ac:dyDescent="0.15">
      <c r="A10" t="s">
        <v>4</v>
      </c>
    </row>
    <row r="11" spans="1:5" x14ac:dyDescent="0.15">
      <c r="B11" s="1" t="s">
        <v>49</v>
      </c>
      <c r="C11" s="1" t="s">
        <v>50</v>
      </c>
      <c r="D11" s="2">
        <v>0.72</v>
      </c>
      <c r="E11" s="1" t="s">
        <v>46</v>
      </c>
    </row>
    <row r="12" spans="1:5" x14ac:dyDescent="0.15">
      <c r="B12" s="1"/>
      <c r="C12" s="1"/>
      <c r="D12" s="2"/>
      <c r="E12" s="1"/>
    </row>
    <row r="14" spans="1:5" x14ac:dyDescent="0.15">
      <c r="B14" s="3" t="s">
        <v>47</v>
      </c>
      <c r="C14" s="3" t="s">
        <v>51</v>
      </c>
      <c r="D14" s="4">
        <v>0.64</v>
      </c>
      <c r="E14" s="3" t="s">
        <v>46</v>
      </c>
    </row>
    <row r="15" spans="1:5" x14ac:dyDescent="0.15">
      <c r="B15" s="3" t="s">
        <v>48</v>
      </c>
      <c r="C15" s="3" t="s">
        <v>52</v>
      </c>
      <c r="D15" s="4">
        <v>0.24</v>
      </c>
      <c r="E15" s="3" t="s">
        <v>46</v>
      </c>
    </row>
    <row r="16" spans="1:5" x14ac:dyDescent="0.15">
      <c r="B16" s="3" t="s">
        <v>6</v>
      </c>
      <c r="C16" s="3" t="s">
        <v>53</v>
      </c>
      <c r="D16" s="4">
        <v>1.8</v>
      </c>
      <c r="E16" s="3" t="s">
        <v>46</v>
      </c>
    </row>
    <row r="18" spans="1:7" x14ac:dyDescent="0.15">
      <c r="B18" s="5" t="s">
        <v>7</v>
      </c>
      <c r="C18" s="5"/>
      <c r="D18" s="5"/>
      <c r="E18" s="5"/>
    </row>
    <row r="19" spans="1:7" x14ac:dyDescent="0.15">
      <c r="B19" s="5" t="s">
        <v>8</v>
      </c>
      <c r="C19" s="5" t="s">
        <v>164</v>
      </c>
      <c r="D19" s="6">
        <v>0.6</v>
      </c>
      <c r="E19" s="5" t="s">
        <v>9</v>
      </c>
    </row>
    <row r="20" spans="1:7" x14ac:dyDescent="0.15">
      <c r="B20" s="5" t="s">
        <v>12</v>
      </c>
      <c r="C20" s="5" t="s">
        <v>165</v>
      </c>
      <c r="D20" s="6">
        <v>0.6</v>
      </c>
      <c r="E20" s="5" t="s">
        <v>9</v>
      </c>
    </row>
    <row r="21" spans="1:7" x14ac:dyDescent="0.15">
      <c r="B21" s="5" t="s">
        <v>10</v>
      </c>
      <c r="C21" s="5" t="s">
        <v>11</v>
      </c>
      <c r="D21" s="6">
        <v>0.9</v>
      </c>
      <c r="E21" s="5" t="s">
        <v>9</v>
      </c>
    </row>
    <row r="22" spans="1:7" x14ac:dyDescent="0.15">
      <c r="B22" s="5" t="s">
        <v>182</v>
      </c>
      <c r="C22" s="5" t="s">
        <v>183</v>
      </c>
      <c r="D22" s="54">
        <f>計算!X137</f>
        <v>1.0063</v>
      </c>
      <c r="E22" s="5" t="s">
        <v>184</v>
      </c>
      <c r="F22" s="26">
        <f>ROUND(D22*180/PI(),1)</f>
        <v>57.7</v>
      </c>
      <c r="G22" s="30" t="s">
        <v>192</v>
      </c>
    </row>
    <row r="23" spans="1:7" x14ac:dyDescent="0.15">
      <c r="B23" s="30" t="s">
        <v>199</v>
      </c>
      <c r="D23" s="27">
        <f>計算!E183</f>
        <v>3.0000000000001137E-3</v>
      </c>
      <c r="E23" t="str">
        <f>計算!B184</f>
        <v>よって、β=1.0063でほぼよい。</v>
      </c>
    </row>
    <row r="24" spans="1:7" x14ac:dyDescent="0.15">
      <c r="E24" s="30"/>
      <c r="F24" s="27"/>
    </row>
    <row r="25" spans="1:7" x14ac:dyDescent="0.15">
      <c r="A25" t="s">
        <v>13</v>
      </c>
    </row>
    <row r="26" spans="1:7" x14ac:dyDescent="0.15">
      <c r="B26" t="s">
        <v>15</v>
      </c>
      <c r="C26" t="s">
        <v>118</v>
      </c>
      <c r="D26" s="7">
        <v>76.3</v>
      </c>
      <c r="E26" t="s">
        <v>14</v>
      </c>
    </row>
    <row r="27" spans="1:7" x14ac:dyDescent="0.15">
      <c r="C27" t="s">
        <v>119</v>
      </c>
      <c r="D27" s="7">
        <v>2.8</v>
      </c>
      <c r="E27" t="s">
        <v>14</v>
      </c>
    </row>
    <row r="29" spans="1:7" x14ac:dyDescent="0.15">
      <c r="A29" t="s">
        <v>17</v>
      </c>
    </row>
    <row r="30" spans="1:7" x14ac:dyDescent="0.15">
      <c r="B30" t="s">
        <v>18</v>
      </c>
      <c r="D30" s="7">
        <v>40</v>
      </c>
      <c r="E30" t="s">
        <v>19</v>
      </c>
    </row>
    <row r="31" spans="1:7" x14ac:dyDescent="0.15">
      <c r="B31" t="s">
        <v>20</v>
      </c>
      <c r="C31" t="s">
        <v>21</v>
      </c>
      <c r="D31" s="7">
        <v>1.2</v>
      </c>
    </row>
    <row r="32" spans="1:7" x14ac:dyDescent="0.15">
      <c r="C32" t="s">
        <v>22</v>
      </c>
      <c r="D32" s="7">
        <v>0.7</v>
      </c>
    </row>
    <row r="34" spans="1:6" x14ac:dyDescent="0.15">
      <c r="A34" t="s">
        <v>23</v>
      </c>
    </row>
    <row r="35" spans="1:6" x14ac:dyDescent="0.15">
      <c r="B35" t="s">
        <v>24</v>
      </c>
      <c r="C35" t="s">
        <v>25</v>
      </c>
      <c r="D35" s="11">
        <v>23</v>
      </c>
      <c r="E35" t="s">
        <v>26</v>
      </c>
    </row>
    <row r="36" spans="1:6" x14ac:dyDescent="0.15">
      <c r="B36" t="s">
        <v>27</v>
      </c>
      <c r="C36" t="s">
        <v>28</v>
      </c>
      <c r="D36" s="11">
        <v>17</v>
      </c>
      <c r="E36" t="s">
        <v>26</v>
      </c>
    </row>
    <row r="37" spans="1:6" x14ac:dyDescent="0.15">
      <c r="B37" t="s">
        <v>29</v>
      </c>
      <c r="D37" s="7">
        <v>10</v>
      </c>
    </row>
    <row r="38" spans="1:6" x14ac:dyDescent="0.15">
      <c r="B38" t="s">
        <v>30</v>
      </c>
      <c r="C38" t="s">
        <v>31</v>
      </c>
      <c r="D38" s="12">
        <v>3.53</v>
      </c>
    </row>
    <row r="39" spans="1:6" x14ac:dyDescent="0.15">
      <c r="B39" t="s">
        <v>32</v>
      </c>
      <c r="D39" s="13">
        <v>100</v>
      </c>
      <c r="E39" t="s">
        <v>33</v>
      </c>
    </row>
    <row r="41" spans="1:6" x14ac:dyDescent="0.15">
      <c r="A41" t="s">
        <v>34</v>
      </c>
    </row>
    <row r="42" spans="1:6" x14ac:dyDescent="0.15">
      <c r="B42" t="s">
        <v>35</v>
      </c>
      <c r="D42" t="s">
        <v>36</v>
      </c>
      <c r="E42" t="s">
        <v>37</v>
      </c>
    </row>
    <row r="43" spans="1:6" x14ac:dyDescent="0.15">
      <c r="B43" t="s">
        <v>38</v>
      </c>
      <c r="D43" s="7">
        <v>156</v>
      </c>
      <c r="E43" s="9" t="s">
        <v>39</v>
      </c>
      <c r="F43" t="s">
        <v>40</v>
      </c>
    </row>
    <row r="44" spans="1:6" x14ac:dyDescent="0.15">
      <c r="B44" t="s">
        <v>41</v>
      </c>
      <c r="D44" s="7">
        <v>156</v>
      </c>
      <c r="E44" s="9" t="s">
        <v>42</v>
      </c>
      <c r="F44" t="s">
        <v>40</v>
      </c>
    </row>
    <row r="45" spans="1:6" x14ac:dyDescent="0.15">
      <c r="B45" t="s">
        <v>43</v>
      </c>
      <c r="D45" s="7">
        <v>156</v>
      </c>
      <c r="E45" s="9" t="s">
        <v>42</v>
      </c>
      <c r="F45" t="s">
        <v>40</v>
      </c>
    </row>
    <row r="46" spans="1:6" x14ac:dyDescent="0.15">
      <c r="B46" t="s">
        <v>44</v>
      </c>
      <c r="D46" s="7">
        <v>180</v>
      </c>
      <c r="E46" s="9" t="s">
        <v>42</v>
      </c>
      <c r="F46" t="s">
        <v>40</v>
      </c>
    </row>
    <row r="47" spans="1:6" x14ac:dyDescent="0.15">
      <c r="B47" t="s">
        <v>45</v>
      </c>
      <c r="D47" s="7">
        <v>90.4</v>
      </c>
      <c r="E47" s="9" t="s">
        <v>42</v>
      </c>
      <c r="F47" t="s">
        <v>40</v>
      </c>
    </row>
    <row r="48" spans="1:6" x14ac:dyDescent="0.15">
      <c r="B48" t="s">
        <v>225</v>
      </c>
      <c r="D48" s="43"/>
      <c r="E48" s="8"/>
    </row>
    <row r="49" spans="1:9" x14ac:dyDescent="0.15">
      <c r="B49" t="s">
        <v>226</v>
      </c>
      <c r="D49" s="7">
        <v>18</v>
      </c>
      <c r="E49" s="9"/>
      <c r="F49" t="s">
        <v>40</v>
      </c>
    </row>
    <row r="50" spans="1:9" x14ac:dyDescent="0.15">
      <c r="B50" t="s">
        <v>227</v>
      </c>
      <c r="D50" s="44">
        <f>IF(ROUND(D49*0.3,1)&gt;=6,6,ROUND(D49*0.3,1))</f>
        <v>5.4</v>
      </c>
      <c r="E50" s="9" t="s">
        <v>39</v>
      </c>
      <c r="F50" t="s">
        <v>40</v>
      </c>
    </row>
    <row r="52" spans="1:9" x14ac:dyDescent="0.15">
      <c r="A52" t="s">
        <v>217</v>
      </c>
    </row>
    <row r="53" spans="1:9" x14ac:dyDescent="0.15">
      <c r="B53" s="31" t="s">
        <v>221</v>
      </c>
      <c r="C53" s="33" t="s">
        <v>218</v>
      </c>
      <c r="D53" s="34"/>
      <c r="E53" s="34">
        <f>計算!E91</f>
        <v>175</v>
      </c>
      <c r="F53" s="34" t="s">
        <v>219</v>
      </c>
      <c r="G53" s="34"/>
      <c r="H53" s="34"/>
      <c r="I53" s="35"/>
    </row>
    <row r="54" spans="1:9" x14ac:dyDescent="0.15">
      <c r="B54" s="32"/>
      <c r="C54" s="36" t="s">
        <v>220</v>
      </c>
      <c r="D54" s="37"/>
      <c r="E54" s="37">
        <f>計算!D92</f>
        <v>0.75</v>
      </c>
      <c r="F54" s="37" t="str">
        <f>計算!E92</f>
        <v>&lt;</v>
      </c>
      <c r="G54" s="37">
        <f>計算!F92</f>
        <v>1</v>
      </c>
      <c r="H54" s="37" t="str">
        <f>計算!G92</f>
        <v>OK</v>
      </c>
      <c r="I54" s="38"/>
    </row>
    <row r="55" spans="1:9" x14ac:dyDescent="0.15">
      <c r="B55" s="39" t="s">
        <v>237</v>
      </c>
      <c r="C55" s="17" t="s">
        <v>238</v>
      </c>
      <c r="D55" s="8"/>
      <c r="E55" s="8">
        <f>計算!E100</f>
        <v>140</v>
      </c>
      <c r="F55" s="8" t="s">
        <v>234</v>
      </c>
      <c r="G55" s="8"/>
      <c r="H55" s="8"/>
      <c r="I55" s="18"/>
    </row>
    <row r="56" spans="1:9" x14ac:dyDescent="0.15">
      <c r="B56" s="39"/>
      <c r="C56" s="17" t="s">
        <v>236</v>
      </c>
      <c r="D56" s="8"/>
      <c r="E56" s="46">
        <f>D21*1000</f>
        <v>900</v>
      </c>
      <c r="F56" s="8" t="str">
        <f>計算!E103</f>
        <v>&gt;</v>
      </c>
      <c r="G56" s="8">
        <f>計算!F103</f>
        <v>140</v>
      </c>
      <c r="H56" s="8" t="str">
        <f>計算!G103</f>
        <v>OK</v>
      </c>
      <c r="I56" s="18"/>
    </row>
    <row r="57" spans="1:9" x14ac:dyDescent="0.15">
      <c r="B57" s="31" t="s">
        <v>222</v>
      </c>
      <c r="C57" s="33" t="str">
        <f>計算!B187</f>
        <v>h･θ≦2.4L・γ（Kp/Kh)　となることを確かめる。</v>
      </c>
      <c r="D57" s="34"/>
      <c r="E57" s="34"/>
      <c r="F57" s="34"/>
      <c r="G57" s="34"/>
      <c r="H57" s="34"/>
      <c r="I57" s="35"/>
    </row>
    <row r="58" spans="1:9" x14ac:dyDescent="0.15">
      <c r="B58" s="39"/>
      <c r="C58" s="17" t="str">
        <f>計算!B190</f>
        <v>h・θ=</v>
      </c>
      <c r="D58" s="8"/>
      <c r="E58" s="8">
        <f>計算!E190</f>
        <v>1.1670000000000001E-3</v>
      </c>
      <c r="F58" s="8"/>
      <c r="G58" s="8"/>
      <c r="H58" s="8"/>
      <c r="I58" s="18"/>
    </row>
    <row r="59" spans="1:9" x14ac:dyDescent="0.15">
      <c r="B59" s="32"/>
      <c r="C59" s="36" t="str">
        <f>計算!B192</f>
        <v>2.4・L・γ（Kp/Kh)=</v>
      </c>
      <c r="D59" s="37"/>
      <c r="E59" s="37">
        <f>計算!E192</f>
        <v>1.946E-3</v>
      </c>
      <c r="F59" s="37" t="str">
        <f>計算!F192</f>
        <v>≧</v>
      </c>
      <c r="G59" s="37" t="str">
        <f>計算!B190</f>
        <v>h・θ=</v>
      </c>
      <c r="H59" s="37">
        <f>計算!G192</f>
        <v>1.1670000000000001E-3</v>
      </c>
      <c r="I59" s="38" t="str">
        <f>計算!H192</f>
        <v>OK</v>
      </c>
    </row>
    <row r="60" spans="1:9" x14ac:dyDescent="0.15">
      <c r="B60" s="9" t="s">
        <v>223</v>
      </c>
      <c r="C60" s="40" t="str">
        <f>計算!B198</f>
        <v>Pmax/αk=</v>
      </c>
      <c r="D60" s="41"/>
      <c r="E60" s="41">
        <f>計算!E198</f>
        <v>11.26</v>
      </c>
      <c r="F60" s="41" t="str">
        <f>計算!F198</f>
        <v>&lt;Pa</v>
      </c>
      <c r="G60" s="41">
        <f>計算!G198</f>
        <v>18.783000000000001</v>
      </c>
      <c r="H60" s="41"/>
      <c r="I60" s="42" t="str">
        <f>計算!H198</f>
        <v>OK</v>
      </c>
    </row>
  </sheetData>
  <sheetProtection sheet="1" objects="1" scenarios="1"/>
  <phoneticPr fontId="2"/>
  <conditionalFormatting sqref="H54:H56">
    <cfRule type="cellIs" dxfId="7" priority="4" operator="equal">
      <formula>"OUT"</formula>
    </cfRule>
  </conditionalFormatting>
  <conditionalFormatting sqref="I59">
    <cfRule type="cellIs" dxfId="6" priority="3" operator="equal">
      <formula>"OUT"</formula>
    </cfRule>
  </conditionalFormatting>
  <conditionalFormatting sqref="I60">
    <cfRule type="cellIs" dxfId="5" priority="2" operator="equal">
      <formula>"OUT"</formula>
    </cfRule>
  </conditionalFormatting>
  <conditionalFormatting sqref="D23">
    <cfRule type="cellIs" dxfId="4" priority="1" operator="notBetween">
      <formula>-0.01</formula>
      <formula>0.01</formula>
    </cfRule>
  </conditionalFormatting>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06"/>
  <sheetViews>
    <sheetView showGridLines="0" topLeftCell="A164" zoomScaleNormal="100" workbookViewId="0">
      <selection activeCell="A208" sqref="A208"/>
    </sheetView>
  </sheetViews>
  <sheetFormatPr defaultRowHeight="13.5" x14ac:dyDescent="0.15"/>
  <cols>
    <col min="2" max="2" width="20.625" customWidth="1"/>
    <col min="3" max="3" width="10.875" customWidth="1"/>
    <col min="4" max="4" width="10.375" customWidth="1"/>
    <col min="5" max="8" width="9.625" customWidth="1"/>
    <col min="13" max="13" width="11.875" bestFit="1" customWidth="1"/>
    <col min="17" max="17" width="10.625" customWidth="1"/>
    <col min="21" max="21" width="12.75" bestFit="1" customWidth="1"/>
    <col min="22" max="22" width="13.875" bestFit="1" customWidth="1"/>
  </cols>
  <sheetData>
    <row r="1" spans="1:5" x14ac:dyDescent="0.15">
      <c r="A1" t="str">
        <f>条件!A1</f>
        <v>路側式標識　設計計算（単柱式、直柱）Ver1.01</v>
      </c>
    </row>
    <row r="3" spans="1:5" x14ac:dyDescent="0.15">
      <c r="A3" t="str">
        <f>条件!A3</f>
        <v>道路標識設置基準・同解説（日本道路協会：昭和62年1月）</v>
      </c>
    </row>
    <row r="4" spans="1:5" x14ac:dyDescent="0.15">
      <c r="A4" t="str">
        <f>条件!A4</f>
        <v>道路標識設置要領・標準図集（建設省四国地方整備局：平成10年3月）</v>
      </c>
    </row>
    <row r="5" spans="1:5" x14ac:dyDescent="0.15">
      <c r="A5" t="str">
        <f>条件!A5</f>
        <v>道路標識ハンドブック（全国道路標識・表示業協会：2012年度）</v>
      </c>
    </row>
    <row r="6" spans="1:5" x14ac:dyDescent="0.15">
      <c r="A6" t="str">
        <f>条件!A6</f>
        <v>道路橋示方書・同解説　Ⅳ下部工編（日本道路協会　平成6年2月）</v>
      </c>
    </row>
    <row r="7" spans="1:5" x14ac:dyDescent="0.15">
      <c r="A7" t="str">
        <f>条件!A7</f>
        <v>道路橋示方書・同解説　Ⅳ下部工編（日本道路協会　平成24年3月）</v>
      </c>
    </row>
    <row r="9" spans="1:5" x14ac:dyDescent="0.15">
      <c r="A9" t="str">
        <f>条件!A9</f>
        <v>１．設計条件</v>
      </c>
    </row>
    <row r="10" spans="1:5" x14ac:dyDescent="0.15">
      <c r="A10" t="str">
        <f>条件!A10</f>
        <v>（ア）寸法</v>
      </c>
    </row>
    <row r="11" spans="1:5" x14ac:dyDescent="0.15">
      <c r="B11" t="str">
        <f>条件!B11</f>
        <v>標識辺長</v>
      </c>
      <c r="C11" t="str">
        <f>条件!C11</f>
        <v>L</v>
      </c>
      <c r="D11" s="27">
        <f>条件!D11</f>
        <v>0.72</v>
      </c>
      <c r="E11" t="str">
        <f>条件!E11</f>
        <v>m</v>
      </c>
    </row>
    <row r="14" spans="1:5" x14ac:dyDescent="0.15">
      <c r="B14" t="str">
        <f>条件!B14</f>
        <v>補助標識板幅</v>
      </c>
      <c r="C14" t="str">
        <f>条件!C14</f>
        <v>Bh</v>
      </c>
      <c r="D14" s="27">
        <f>条件!D14</f>
        <v>0.64</v>
      </c>
      <c r="E14" t="str">
        <f>条件!E14</f>
        <v>m</v>
      </c>
    </row>
    <row r="15" spans="1:5" x14ac:dyDescent="0.15">
      <c r="B15" t="str">
        <f>条件!B15</f>
        <v>補助標識板高</v>
      </c>
      <c r="C15" t="str">
        <f>条件!C15</f>
        <v>Hh</v>
      </c>
      <c r="D15" s="27">
        <f>条件!D15</f>
        <v>0.24</v>
      </c>
      <c r="E15" t="str">
        <f>条件!E15</f>
        <v>m</v>
      </c>
    </row>
    <row r="16" spans="1:5" x14ac:dyDescent="0.15">
      <c r="B16" t="str">
        <f>条件!B16</f>
        <v>設置高（路面から）</v>
      </c>
      <c r="C16" t="str">
        <f>条件!C16</f>
        <v>h</v>
      </c>
      <c r="D16" s="27">
        <f>条件!D16</f>
        <v>1.8</v>
      </c>
      <c r="E16" t="str">
        <f>条件!E16</f>
        <v>m</v>
      </c>
    </row>
    <row r="18" spans="1:5" x14ac:dyDescent="0.15">
      <c r="B18" t="str">
        <f>条件!B18</f>
        <v>基礎</v>
      </c>
    </row>
    <row r="19" spans="1:5" x14ac:dyDescent="0.15">
      <c r="B19" t="str">
        <f>条件!B19</f>
        <v>基礎前面幅</v>
      </c>
      <c r="C19" t="str">
        <f>条件!C19</f>
        <v>Bk</v>
      </c>
      <c r="D19" s="27">
        <f>条件!D19</f>
        <v>0.6</v>
      </c>
      <c r="E19" t="str">
        <f>条件!E19</f>
        <v>m</v>
      </c>
    </row>
    <row r="20" spans="1:5" x14ac:dyDescent="0.15">
      <c r="B20" t="str">
        <f>条件!B20</f>
        <v>基礎側面幅</v>
      </c>
      <c r="C20" t="str">
        <f>条件!C20</f>
        <v>Lk</v>
      </c>
      <c r="D20" s="27">
        <f>条件!D20</f>
        <v>0.6</v>
      </c>
      <c r="E20" t="str">
        <f>条件!E20</f>
        <v>m</v>
      </c>
    </row>
    <row r="21" spans="1:5" x14ac:dyDescent="0.15">
      <c r="B21" t="str">
        <f>条件!B21</f>
        <v>基礎深さ</v>
      </c>
      <c r="C21" t="str">
        <f>条件!C21</f>
        <v>Dk</v>
      </c>
      <c r="D21" s="27">
        <f>条件!D21</f>
        <v>0.9</v>
      </c>
      <c r="E21" t="str">
        <f>条件!E21</f>
        <v>m</v>
      </c>
    </row>
    <row r="22" spans="1:5" x14ac:dyDescent="0.15">
      <c r="B22" t="str">
        <f>条件!B22</f>
        <v>βの仮定値</v>
      </c>
      <c r="C22" t="str">
        <f>条件!C22</f>
        <v>β</v>
      </c>
      <c r="D22" s="49">
        <f>X137</f>
        <v>1.0063</v>
      </c>
      <c r="E22" t="str">
        <f>条件!E22</f>
        <v>rad</v>
      </c>
    </row>
    <row r="24" spans="1:5" x14ac:dyDescent="0.15">
      <c r="A24" t="str">
        <f>条件!A25</f>
        <v>（イ）使用部材</v>
      </c>
    </row>
    <row r="25" spans="1:5" x14ac:dyDescent="0.15">
      <c r="B25" t="str">
        <f>条件!B26</f>
        <v>柱主材(STK)</v>
      </c>
      <c r="C25" t="str">
        <f>条件!C26</f>
        <v>径φ</v>
      </c>
      <c r="D25">
        <f>条件!D26</f>
        <v>76.3</v>
      </c>
      <c r="E25" t="str">
        <f>条件!E26</f>
        <v>mm</v>
      </c>
    </row>
    <row r="26" spans="1:5" x14ac:dyDescent="0.15">
      <c r="C26" t="str">
        <f>条件!C27</f>
        <v>肉厚t</v>
      </c>
      <c r="D26">
        <f>条件!D27</f>
        <v>2.8</v>
      </c>
      <c r="E26" t="str">
        <f>条件!E27</f>
        <v>mm</v>
      </c>
    </row>
    <row r="28" spans="1:5" x14ac:dyDescent="0.15">
      <c r="A28" t="str">
        <f>条件!A29</f>
        <v>（オ）荷重条件</v>
      </c>
    </row>
    <row r="29" spans="1:5" x14ac:dyDescent="0.15">
      <c r="B29" t="str">
        <f>条件!B30</f>
        <v>設計風速</v>
      </c>
      <c r="D29">
        <f>条件!D30</f>
        <v>40</v>
      </c>
      <c r="E29" t="str">
        <f>条件!E30</f>
        <v>m/s</v>
      </c>
    </row>
    <row r="30" spans="1:5" x14ac:dyDescent="0.15">
      <c r="B30" t="str">
        <f>条件!B31</f>
        <v>風力係数 Cd</v>
      </c>
      <c r="C30" t="str">
        <f>条件!C31</f>
        <v>標識板</v>
      </c>
      <c r="D30">
        <f>条件!D31</f>
        <v>1.2</v>
      </c>
    </row>
    <row r="31" spans="1:5" x14ac:dyDescent="0.15">
      <c r="C31" t="str">
        <f>条件!C32</f>
        <v>支柱類</v>
      </c>
      <c r="D31">
        <f>条件!D32</f>
        <v>0.7</v>
      </c>
    </row>
    <row r="33" spans="1:6" x14ac:dyDescent="0.15">
      <c r="A33" t="str">
        <f>条件!A34</f>
        <v>（カ）基礎条件等</v>
      </c>
    </row>
    <row r="34" spans="1:6" x14ac:dyDescent="0.15">
      <c r="B34" t="str">
        <f>条件!B35</f>
        <v>コンクリート単位重量</v>
      </c>
      <c r="C34" t="str">
        <f>条件!C35</f>
        <v>γc</v>
      </c>
      <c r="D34">
        <f>条件!D35</f>
        <v>23</v>
      </c>
      <c r="E34" t="str">
        <f>条件!E35</f>
        <v>kN/m3</v>
      </c>
    </row>
    <row r="35" spans="1:6" x14ac:dyDescent="0.15">
      <c r="B35" t="str">
        <f>条件!B36</f>
        <v>土の単位重量</v>
      </c>
      <c r="C35" t="str">
        <f>条件!C36</f>
        <v>γ</v>
      </c>
      <c r="D35">
        <f>条件!D36</f>
        <v>17</v>
      </c>
      <c r="E35" t="str">
        <f>条件!E36</f>
        <v>kN/m3</v>
      </c>
    </row>
    <row r="36" spans="1:6" x14ac:dyDescent="0.15">
      <c r="B36" t="str">
        <f>条件!B37</f>
        <v>N値</v>
      </c>
      <c r="D36">
        <f>条件!D37</f>
        <v>10</v>
      </c>
    </row>
    <row r="37" spans="1:6" x14ac:dyDescent="0.15">
      <c r="B37" t="str">
        <f>条件!B38</f>
        <v>受働土圧係数</v>
      </c>
      <c r="C37" t="str">
        <f>条件!C38</f>
        <v>Kp</v>
      </c>
      <c r="D37">
        <f>条件!D38</f>
        <v>3.53</v>
      </c>
    </row>
    <row r="38" spans="1:6" x14ac:dyDescent="0.15">
      <c r="B38" t="str">
        <f>条件!B39</f>
        <v>地盤反力短期</v>
      </c>
      <c r="D38">
        <f>条件!D39</f>
        <v>100</v>
      </c>
      <c r="E38" t="str">
        <f>条件!E39</f>
        <v>kN/㎡</v>
      </c>
    </row>
    <row r="40" spans="1:6" x14ac:dyDescent="0.15">
      <c r="A40" t="str">
        <f>条件!A41</f>
        <v>（キ）材料の許容応力度</v>
      </c>
    </row>
    <row r="41" spans="1:6" x14ac:dyDescent="0.15">
      <c r="B41" t="str">
        <f>条件!B42</f>
        <v>鋼材(SS400,STK400)</v>
      </c>
      <c r="D41" t="str">
        <f>条件!D42</f>
        <v>長期</v>
      </c>
      <c r="E41" t="str">
        <f>条件!E42</f>
        <v>短期</v>
      </c>
    </row>
    <row r="42" spans="1:6" x14ac:dyDescent="0.15">
      <c r="B42" t="str">
        <f>条件!B43</f>
        <v>　引張応力度</v>
      </c>
      <c r="D42">
        <f>条件!D43</f>
        <v>156</v>
      </c>
      <c r="E42" t="str">
        <f>条件!E43</f>
        <v>長期×1.5</v>
      </c>
      <c r="F42" t="str">
        <f>条件!F43</f>
        <v>N/mm2</v>
      </c>
    </row>
    <row r="43" spans="1:6" x14ac:dyDescent="0.15">
      <c r="B43" t="str">
        <f>条件!B44</f>
        <v>　圧縮応力度</v>
      </c>
      <c r="D43">
        <f>条件!D44</f>
        <v>156</v>
      </c>
      <c r="E43" t="str">
        <f>条件!E44</f>
        <v>〃</v>
      </c>
      <c r="F43" t="str">
        <f>条件!F44</f>
        <v>N/mm2</v>
      </c>
    </row>
    <row r="44" spans="1:6" x14ac:dyDescent="0.15">
      <c r="B44" t="str">
        <f>条件!B45</f>
        <v>　曲げ応力度</v>
      </c>
      <c r="D44">
        <f>条件!D45</f>
        <v>156</v>
      </c>
      <c r="E44" t="str">
        <f>条件!E45</f>
        <v>〃</v>
      </c>
      <c r="F44" t="str">
        <f>条件!F45</f>
        <v>N/mm2</v>
      </c>
    </row>
    <row r="45" spans="1:6" x14ac:dyDescent="0.15">
      <c r="B45" t="str">
        <f>条件!B46</f>
        <v xml:space="preserve"> 面外許容曲げ応力度</v>
      </c>
      <c r="D45">
        <f>条件!D46</f>
        <v>180</v>
      </c>
      <c r="E45" t="str">
        <f>条件!E46</f>
        <v>〃</v>
      </c>
      <c r="F45" t="str">
        <f>条件!F46</f>
        <v>N/mm2</v>
      </c>
    </row>
    <row r="46" spans="1:6" x14ac:dyDescent="0.15">
      <c r="B46" t="str">
        <f>条件!B47</f>
        <v>　せん断応力度</v>
      </c>
      <c r="D46">
        <f>条件!D47</f>
        <v>90.4</v>
      </c>
      <c r="E46" t="str">
        <f>条件!E47</f>
        <v>〃</v>
      </c>
      <c r="F46" t="str">
        <f>条件!F47</f>
        <v>N/mm2</v>
      </c>
    </row>
    <row r="47" spans="1:6" x14ac:dyDescent="0.15">
      <c r="B47" t="str">
        <f>条件!B48</f>
        <v>コンクリート</v>
      </c>
    </row>
    <row r="48" spans="1:6" x14ac:dyDescent="0.15">
      <c r="B48" t="str">
        <f>条件!B49</f>
        <v>　設計基準強度</v>
      </c>
      <c r="D48">
        <f>条件!D49</f>
        <v>18</v>
      </c>
      <c r="F48" t="str">
        <f>条件!F49</f>
        <v>N/mm2</v>
      </c>
    </row>
    <row r="49" spans="1:37" x14ac:dyDescent="0.15">
      <c r="B49" t="str">
        <f>条件!B50</f>
        <v>　支圧応力度</v>
      </c>
      <c r="D49">
        <f>条件!D50</f>
        <v>5.4</v>
      </c>
      <c r="E49" t="str">
        <f>条件!E50</f>
        <v>長期×1.5</v>
      </c>
      <c r="F49" t="str">
        <f>条件!F50</f>
        <v>N/mm2</v>
      </c>
    </row>
    <row r="51" spans="1:37" x14ac:dyDescent="0.15">
      <c r="A51" t="s">
        <v>59</v>
      </c>
    </row>
    <row r="52" spans="1:37" x14ac:dyDescent="0.15">
      <c r="A52" t="s">
        <v>60</v>
      </c>
    </row>
    <row r="53" spans="1:37" x14ac:dyDescent="0.15">
      <c r="B53" s="9"/>
      <c r="C53" s="9" t="s">
        <v>61</v>
      </c>
      <c r="D53" s="9" t="s">
        <v>62</v>
      </c>
      <c r="E53" s="56" t="s">
        <v>63</v>
      </c>
      <c r="F53" s="57"/>
      <c r="G53" s="57"/>
      <c r="H53" s="58"/>
      <c r="I53" s="14"/>
      <c r="J53" s="15"/>
      <c r="K53" s="15"/>
    </row>
    <row r="54" spans="1:37" x14ac:dyDescent="0.15">
      <c r="B54" s="9" t="s">
        <v>64</v>
      </c>
      <c r="C54" s="9" t="s">
        <v>65</v>
      </c>
      <c r="D54" s="9" t="s">
        <v>66</v>
      </c>
      <c r="E54" s="9" t="s">
        <v>67</v>
      </c>
      <c r="F54" s="9" t="s">
        <v>68</v>
      </c>
      <c r="G54" s="9" t="s">
        <v>69</v>
      </c>
      <c r="H54" s="9" t="s">
        <v>70</v>
      </c>
      <c r="I54" s="16"/>
      <c r="J54" s="17"/>
      <c r="K54" s="18"/>
      <c r="L54" s="10" t="s">
        <v>71</v>
      </c>
      <c r="M54" s="10" t="s">
        <v>72</v>
      </c>
      <c r="N54" s="9" t="s">
        <v>73</v>
      </c>
      <c r="O54" s="9" t="s">
        <v>74</v>
      </c>
      <c r="P54" s="9" t="s">
        <v>75</v>
      </c>
      <c r="Q54" s="9" t="s">
        <v>76</v>
      </c>
      <c r="R54" s="19" t="s">
        <v>77</v>
      </c>
      <c r="S54" s="19"/>
      <c r="T54" s="19"/>
      <c r="U54" s="19"/>
      <c r="V54" s="19"/>
      <c r="W54" s="9" t="s">
        <v>78</v>
      </c>
      <c r="X54" s="9"/>
      <c r="Y54" s="9"/>
      <c r="Z54" s="9"/>
      <c r="AA54" s="9"/>
      <c r="AB54" s="20" t="s">
        <v>79</v>
      </c>
      <c r="AC54" s="20"/>
      <c r="AD54" s="20"/>
      <c r="AE54" s="20"/>
      <c r="AF54" s="20"/>
      <c r="AG54" s="9" t="s">
        <v>80</v>
      </c>
      <c r="AH54" s="9"/>
      <c r="AI54" s="9"/>
      <c r="AJ54" s="9"/>
      <c r="AK54" s="9"/>
    </row>
    <row r="55" spans="1:37" x14ac:dyDescent="0.15">
      <c r="A55" s="21" t="s">
        <v>81</v>
      </c>
      <c r="B55" s="9" t="str">
        <f>"STK-"&amp;D25&amp;"×"&amp;D26</f>
        <v>STK-76.3×2.8</v>
      </c>
      <c r="C55" s="9">
        <f>ROUND(数値表!F2*D55*100,1)</f>
        <v>49819</v>
      </c>
      <c r="D55" s="22">
        <f>ROUND((D25^2-(D25-D26*2)^2)*PI()/4/100,2)</f>
        <v>6.47</v>
      </c>
      <c r="E55" s="9">
        <f>V55</f>
        <v>4.3999999999999995</v>
      </c>
      <c r="F55" s="9">
        <f>AA55</f>
        <v>11.4</v>
      </c>
      <c r="G55" s="9">
        <f>AF55</f>
        <v>2.6</v>
      </c>
      <c r="H55" s="9">
        <f>AK55</f>
        <v>8.6999999999999993</v>
      </c>
      <c r="I55" s="23"/>
      <c r="J55" s="8"/>
      <c r="K55" s="8"/>
      <c r="L55" s="9">
        <f>D25/10</f>
        <v>7.63</v>
      </c>
      <c r="M55" s="9">
        <f>(D25-D26*2)/10</f>
        <v>7.07</v>
      </c>
      <c r="N55" s="9">
        <f>ROUND((L55^4-M55^4)*PI()/64,0)</f>
        <v>44</v>
      </c>
      <c r="O55" s="9">
        <f>ROUND((L55^4-M55^4)*PI()/32/L55,2)</f>
        <v>11.46</v>
      </c>
      <c r="P55" s="9">
        <f>ROUND(SQRT((L55^2+M55^2))/4,2)</f>
        <v>2.6</v>
      </c>
      <c r="Q55" s="9">
        <f>ROUND((L55^4-M55^4)*PI()/32,0)</f>
        <v>87</v>
      </c>
      <c r="R55" s="24">
        <f>LEN(INT(N55))</f>
        <v>2</v>
      </c>
      <c r="S55" s="24" t="str">
        <f>LEFT(N55,3)</f>
        <v>44</v>
      </c>
      <c r="T55" s="24">
        <f>VALUE(S55)/1000</f>
        <v>4.3999999999999997E-2</v>
      </c>
      <c r="U55" s="24">
        <f>POWER(10,R55)</f>
        <v>100</v>
      </c>
      <c r="V55" s="24">
        <f>T55*U55</f>
        <v>4.3999999999999995</v>
      </c>
      <c r="W55" s="9">
        <f>LEN(INT(O55))</f>
        <v>2</v>
      </c>
      <c r="X55" s="9" t="str">
        <f>LEFT(O55*1000,3)</f>
        <v>114</v>
      </c>
      <c r="Y55" s="9">
        <f>VALUE(X55)/1000</f>
        <v>0.114</v>
      </c>
      <c r="Z55" s="9">
        <f>POWER(10,W55)</f>
        <v>100</v>
      </c>
      <c r="AA55" s="9">
        <f>Y55*Z55</f>
        <v>11.4</v>
      </c>
      <c r="AB55" s="20">
        <f>LEN(INT(P55))</f>
        <v>1</v>
      </c>
      <c r="AC55" s="20" t="str">
        <f>LEFT(P55*1000,3)</f>
        <v>260</v>
      </c>
      <c r="AD55" s="20">
        <f>VALUE(AC55)/1000</f>
        <v>0.26</v>
      </c>
      <c r="AE55" s="20">
        <f>POWER(10,AB55)</f>
        <v>10</v>
      </c>
      <c r="AF55" s="20">
        <f>AD55*AE55</f>
        <v>2.6</v>
      </c>
      <c r="AG55" s="9">
        <f>LEN(INT(Q55))</f>
        <v>2</v>
      </c>
      <c r="AH55" s="9" t="str">
        <f>LEFT(Q55,3)</f>
        <v>87</v>
      </c>
      <c r="AI55" s="9">
        <f>VALUE(AH55)/1000</f>
        <v>8.6999999999999994E-2</v>
      </c>
      <c r="AJ55" s="9">
        <f>POWER(10,AG55)</f>
        <v>100</v>
      </c>
      <c r="AK55" s="9">
        <f>AI55*AJ55</f>
        <v>8.6999999999999993</v>
      </c>
    </row>
    <row r="56" spans="1:37" x14ac:dyDescent="0.15">
      <c r="B56" t="s">
        <v>83</v>
      </c>
      <c r="I56" s="25"/>
    </row>
    <row r="58" spans="1:37" x14ac:dyDescent="0.15">
      <c r="A58" t="s">
        <v>105</v>
      </c>
    </row>
    <row r="59" spans="1:37" x14ac:dyDescent="0.15">
      <c r="B59" t="s">
        <v>106</v>
      </c>
    </row>
    <row r="60" spans="1:37" x14ac:dyDescent="0.15">
      <c r="B60" t="s">
        <v>107</v>
      </c>
      <c r="C60" t="s">
        <v>108</v>
      </c>
      <c r="E60">
        <f>ROUND(D63^2*D65*D64/2,0)</f>
        <v>1181</v>
      </c>
      <c r="F60" t="s">
        <v>109</v>
      </c>
      <c r="I60" s="25"/>
    </row>
    <row r="61" spans="1:37" x14ac:dyDescent="0.15">
      <c r="B61" t="s">
        <v>110</v>
      </c>
      <c r="C61" t="s">
        <v>111</v>
      </c>
      <c r="E61">
        <f>ROUND(D63^2*D66*D64/2,0)</f>
        <v>689</v>
      </c>
      <c r="F61" t="s">
        <v>109</v>
      </c>
      <c r="I61" s="25"/>
    </row>
    <row r="62" spans="1:37" x14ac:dyDescent="0.15">
      <c r="B62" t="s">
        <v>112</v>
      </c>
      <c r="I62" s="25"/>
    </row>
    <row r="63" spans="1:37" x14ac:dyDescent="0.15">
      <c r="B63" t="str">
        <f>B29</f>
        <v>設計風速</v>
      </c>
      <c r="D63">
        <f>D29</f>
        <v>40</v>
      </c>
      <c r="E63" t="str">
        <f>E29</f>
        <v>m/s</v>
      </c>
      <c r="I63" s="25"/>
    </row>
    <row r="64" spans="1:37" x14ac:dyDescent="0.15">
      <c r="B64" t="s">
        <v>87</v>
      </c>
      <c r="C64" t="s">
        <v>113</v>
      </c>
      <c r="D64">
        <f>数値表!J2</f>
        <v>1.23</v>
      </c>
      <c r="E64" t="s">
        <v>90</v>
      </c>
      <c r="I64" s="25"/>
    </row>
    <row r="65" spans="1:9" x14ac:dyDescent="0.15">
      <c r="B65" t="str">
        <f>B30</f>
        <v>風力係数 Cd</v>
      </c>
      <c r="C65" t="str">
        <f>C30</f>
        <v>標識板</v>
      </c>
      <c r="D65">
        <f>D30</f>
        <v>1.2</v>
      </c>
      <c r="I65" s="25"/>
    </row>
    <row r="66" spans="1:9" x14ac:dyDescent="0.15">
      <c r="C66" t="str">
        <f>C31</f>
        <v>支柱類</v>
      </c>
      <c r="D66">
        <f>D31</f>
        <v>0.7</v>
      </c>
      <c r="I66" s="25"/>
    </row>
    <row r="68" spans="1:9" x14ac:dyDescent="0.15">
      <c r="A68" t="s">
        <v>54</v>
      </c>
    </row>
    <row r="69" spans="1:9" x14ac:dyDescent="0.15">
      <c r="B69" t="s">
        <v>55</v>
      </c>
    </row>
    <row r="70" spans="1:9" x14ac:dyDescent="0.15">
      <c r="B70" t="s">
        <v>56</v>
      </c>
    </row>
    <row r="71" spans="1:9" x14ac:dyDescent="0.15">
      <c r="B71" t="s">
        <v>57</v>
      </c>
    </row>
    <row r="72" spans="1:9" x14ac:dyDescent="0.15">
      <c r="B72" t="s">
        <v>58</v>
      </c>
    </row>
    <row r="73" spans="1:9" x14ac:dyDescent="0.15">
      <c r="B73" t="s">
        <v>21</v>
      </c>
      <c r="C73" t="s">
        <v>114</v>
      </c>
      <c r="E73">
        <f>ROUND(E60*D11*D11,1)</f>
        <v>612.20000000000005</v>
      </c>
      <c r="F73" t="s">
        <v>120</v>
      </c>
    </row>
    <row r="74" spans="1:9" x14ac:dyDescent="0.15">
      <c r="B74" t="s">
        <v>115</v>
      </c>
      <c r="C74" t="s">
        <v>116</v>
      </c>
      <c r="E74">
        <f>ROUND(E60*D14*D15,1)</f>
        <v>181.4</v>
      </c>
      <c r="F74" t="s">
        <v>120</v>
      </c>
    </row>
    <row r="75" spans="1:9" x14ac:dyDescent="0.15">
      <c r="B75" t="s">
        <v>82</v>
      </c>
      <c r="C75" t="s">
        <v>117</v>
      </c>
      <c r="E75" s="26">
        <f>ROUND(E61*D25/1000*D16,1)</f>
        <v>94.6</v>
      </c>
      <c r="F75" t="s">
        <v>120</v>
      </c>
    </row>
    <row r="76" spans="1:9" x14ac:dyDescent="0.15">
      <c r="B76" t="s">
        <v>121</v>
      </c>
      <c r="E76">
        <f>SUM(E73:E75)</f>
        <v>888.2</v>
      </c>
      <c r="F76" t="s">
        <v>120</v>
      </c>
    </row>
    <row r="78" spans="1:9" x14ac:dyDescent="0.15">
      <c r="B78" t="s">
        <v>129</v>
      </c>
    </row>
    <row r="79" spans="1:9" x14ac:dyDescent="0.15">
      <c r="B79" t="s">
        <v>130</v>
      </c>
    </row>
    <row r="80" spans="1:9" x14ac:dyDescent="0.15">
      <c r="B80" t="s">
        <v>122</v>
      </c>
    </row>
    <row r="81" spans="2:11" x14ac:dyDescent="0.15">
      <c r="B81" t="s">
        <v>123</v>
      </c>
      <c r="E81">
        <f>ROUND(E73*E82+E74*E83+E75*E84,0)</f>
        <v>1994</v>
      </c>
      <c r="F81" t="s">
        <v>127</v>
      </c>
    </row>
    <row r="82" spans="2:11" x14ac:dyDescent="0.15">
      <c r="B82" t="s">
        <v>128</v>
      </c>
      <c r="C82" t="s">
        <v>124</v>
      </c>
      <c r="E82">
        <f>ROUND(D11/SQRT(2)+D15+D16,3)</f>
        <v>2.5489999999999999</v>
      </c>
      <c r="F82" t="s">
        <v>5</v>
      </c>
    </row>
    <row r="83" spans="2:11" x14ac:dyDescent="0.15">
      <c r="C83" t="s">
        <v>125</v>
      </c>
      <c r="E83" s="27">
        <f>ROUND(D15/2+D16,3)</f>
        <v>1.92</v>
      </c>
      <c r="F83" t="s">
        <v>5</v>
      </c>
    </row>
    <row r="84" spans="2:11" x14ac:dyDescent="0.15">
      <c r="C84" t="s">
        <v>126</v>
      </c>
      <c r="E84" s="27">
        <f>ROUND(D16/2,3)</f>
        <v>0.9</v>
      </c>
      <c r="F84" t="s">
        <v>5</v>
      </c>
    </row>
    <row r="86" spans="2:11" x14ac:dyDescent="0.15">
      <c r="B86" t="s">
        <v>131</v>
      </c>
      <c r="C86" t="s">
        <v>132</v>
      </c>
      <c r="E86">
        <f>E76</f>
        <v>888.2</v>
      </c>
      <c r="F86" t="s">
        <v>120</v>
      </c>
    </row>
    <row r="88" spans="2:11" x14ac:dyDescent="0.15">
      <c r="B88" t="s">
        <v>133</v>
      </c>
    </row>
    <row r="89" spans="2:11" x14ac:dyDescent="0.15">
      <c r="B89" t="s">
        <v>134</v>
      </c>
    </row>
    <row r="90" spans="2:11" x14ac:dyDescent="0.15">
      <c r="B90" t="s">
        <v>135</v>
      </c>
    </row>
    <row r="91" spans="2:11" x14ac:dyDescent="0.15">
      <c r="B91" t="s">
        <v>136</v>
      </c>
      <c r="E91">
        <f>ROUND(K91/K92,0)</f>
        <v>175</v>
      </c>
      <c r="F91" t="s">
        <v>137</v>
      </c>
      <c r="J91" t="s">
        <v>138</v>
      </c>
      <c r="K91">
        <f>E81*1000</f>
        <v>1994000</v>
      </c>
    </row>
    <row r="92" spans="2:11" x14ac:dyDescent="0.15">
      <c r="B92" t="s">
        <v>140</v>
      </c>
      <c r="D92">
        <f>ROUND(E91/K93,2)</f>
        <v>0.75</v>
      </c>
      <c r="E92" t="str">
        <f>IF(D92&lt;F92,"&lt;","&gt;")</f>
        <v>&lt;</v>
      </c>
      <c r="F92">
        <v>1</v>
      </c>
      <c r="G92" t="str">
        <f>IF(D92&lt;F92,"OK","OUT")</f>
        <v>OK</v>
      </c>
      <c r="J92" t="s">
        <v>139</v>
      </c>
      <c r="K92">
        <f>F55*1000</f>
        <v>11400</v>
      </c>
    </row>
    <row r="93" spans="2:11" x14ac:dyDescent="0.15">
      <c r="J93" t="s">
        <v>141</v>
      </c>
      <c r="K93">
        <f>ROUND(D44*1.5,0)</f>
        <v>234</v>
      </c>
    </row>
    <row r="94" spans="2:11" x14ac:dyDescent="0.15">
      <c r="B94" t="s">
        <v>142</v>
      </c>
    </row>
    <row r="95" spans="2:11" x14ac:dyDescent="0.15">
      <c r="B95" t="s">
        <v>143</v>
      </c>
    </row>
    <row r="97" spans="1:7" x14ac:dyDescent="0.15">
      <c r="B97" t="s">
        <v>228</v>
      </c>
    </row>
    <row r="98" spans="1:7" x14ac:dyDescent="0.15">
      <c r="B98" t="s">
        <v>235</v>
      </c>
    </row>
    <row r="100" spans="1:7" x14ac:dyDescent="0.15">
      <c r="B100" t="s">
        <v>233</v>
      </c>
      <c r="E100">
        <f>ROUND((E76+SQRT(E76^2+24*E101*D25*E81*1000))/(2*E101*D25),0)</f>
        <v>140</v>
      </c>
      <c r="F100" t="s">
        <v>234</v>
      </c>
    </row>
    <row r="101" spans="1:7" x14ac:dyDescent="0.15">
      <c r="B101" t="s">
        <v>229</v>
      </c>
      <c r="C101" t="s">
        <v>231</v>
      </c>
      <c r="E101">
        <f>ROUND(条件!D50*1.5,1)</f>
        <v>8.1</v>
      </c>
      <c r="F101" t="s">
        <v>230</v>
      </c>
      <c r="G101" t="s">
        <v>232</v>
      </c>
    </row>
    <row r="103" spans="1:7" x14ac:dyDescent="0.15">
      <c r="B103" t="s">
        <v>236</v>
      </c>
      <c r="C103" s="45">
        <f>計算!D21*1000</f>
        <v>900</v>
      </c>
      <c r="D103" t="s">
        <v>234</v>
      </c>
      <c r="E103" t="str">
        <f>IF(D103&lt;F103,"&lt;","&gt;")</f>
        <v>&gt;</v>
      </c>
      <c r="F103">
        <f>E100</f>
        <v>140</v>
      </c>
      <c r="G103" t="str">
        <f>IF(D103&gt;F103,"OK","OUT")</f>
        <v>OK</v>
      </c>
    </row>
    <row r="106" spans="1:7" x14ac:dyDescent="0.15">
      <c r="A106" t="s">
        <v>144</v>
      </c>
    </row>
    <row r="107" spans="1:7" x14ac:dyDescent="0.15">
      <c r="B107" t="s">
        <v>145</v>
      </c>
    </row>
    <row r="128" spans="2:14" x14ac:dyDescent="0.15">
      <c r="B128" t="s">
        <v>146</v>
      </c>
      <c r="M128" s="9" t="s">
        <v>239</v>
      </c>
      <c r="N128" s="47">
        <f>E130</f>
        <v>0.6</v>
      </c>
    </row>
    <row r="129" spans="2:24" x14ac:dyDescent="0.15">
      <c r="C129" t="s">
        <v>147</v>
      </c>
      <c r="E129" s="27">
        <f>D19</f>
        <v>0.6</v>
      </c>
      <c r="F129" t="s">
        <v>5</v>
      </c>
      <c r="M129" s="9" t="s">
        <v>240</v>
      </c>
      <c r="N129" s="9">
        <f>N128/2</f>
        <v>0.3</v>
      </c>
    </row>
    <row r="130" spans="2:24" x14ac:dyDescent="0.15">
      <c r="C130" t="s">
        <v>148</v>
      </c>
      <c r="E130" s="27">
        <f>D20</f>
        <v>0.6</v>
      </c>
      <c r="F130" t="s">
        <v>5</v>
      </c>
      <c r="M130" s="9" t="s">
        <v>241</v>
      </c>
      <c r="N130" s="47">
        <f>E129</f>
        <v>0.6</v>
      </c>
    </row>
    <row r="131" spans="2:24" x14ac:dyDescent="0.15">
      <c r="C131" t="s">
        <v>149</v>
      </c>
      <c r="E131" s="27">
        <f>D21</f>
        <v>0.9</v>
      </c>
      <c r="F131" t="s">
        <v>5</v>
      </c>
      <c r="M131" s="9" t="s">
        <v>252</v>
      </c>
      <c r="N131" s="9">
        <f>N130/2</f>
        <v>0.3</v>
      </c>
    </row>
    <row r="132" spans="2:24" x14ac:dyDescent="0.15">
      <c r="M132" s="9" t="s">
        <v>242</v>
      </c>
      <c r="N132" s="47">
        <f>E131</f>
        <v>0.9</v>
      </c>
    </row>
    <row r="133" spans="2:24" x14ac:dyDescent="0.15">
      <c r="B133" t="s">
        <v>150</v>
      </c>
      <c r="M133" s="9" t="s">
        <v>243</v>
      </c>
      <c r="N133" s="9">
        <f>D34</f>
        <v>23</v>
      </c>
    </row>
    <row r="134" spans="2:24" x14ac:dyDescent="0.15">
      <c r="B134" t="s">
        <v>151</v>
      </c>
      <c r="M134" s="9" t="s">
        <v>244</v>
      </c>
      <c r="N134" s="9">
        <f>N130/N128</f>
        <v>1</v>
      </c>
      <c r="Q134" t="s">
        <v>272</v>
      </c>
      <c r="R134">
        <f>ATAN(N131/N130)</f>
        <v>0.46364760900080609</v>
      </c>
    </row>
    <row r="135" spans="2:24" x14ac:dyDescent="0.15">
      <c r="B135" t="s">
        <v>152</v>
      </c>
      <c r="E135" s="28">
        <f>ROUND(E138*E140*(E149/0.3)^(-3/4),0)</f>
        <v>66595</v>
      </c>
      <c r="M135" s="9" t="s">
        <v>245</v>
      </c>
      <c r="N135" s="48">
        <f>E135</f>
        <v>66595</v>
      </c>
    </row>
    <row r="136" spans="2:24" x14ac:dyDescent="0.15">
      <c r="B136" t="s">
        <v>128</v>
      </c>
      <c r="M136" s="9" t="s">
        <v>254</v>
      </c>
      <c r="N136" s="48">
        <f>E152</f>
        <v>55496</v>
      </c>
      <c r="Q136" s="9"/>
      <c r="R136" s="9" t="s">
        <v>268</v>
      </c>
      <c r="S136" s="9" t="s">
        <v>269</v>
      </c>
      <c r="T136" s="9" t="s">
        <v>270</v>
      </c>
    </row>
    <row r="137" spans="2:24" x14ac:dyDescent="0.15">
      <c r="B137" t="s">
        <v>153</v>
      </c>
      <c r="M137" s="9" t="s">
        <v>246</v>
      </c>
      <c r="N137" s="9">
        <f>E141</f>
        <v>1</v>
      </c>
      <c r="Q137" s="9" t="s">
        <v>259</v>
      </c>
      <c r="R137" s="9">
        <f>R134</f>
        <v>0.46364760900080609</v>
      </c>
      <c r="S137" s="9">
        <f>VLOOKUP(1,$P$142:$X$162,2,FALSE)-R139</f>
        <v>0.96195618495044344</v>
      </c>
      <c r="T137" s="9">
        <f>VLOOKUP(1,$P$164:$X$184,2,FALSE)-S139</f>
        <v>1.0007135186354152</v>
      </c>
      <c r="W137" s="9" t="s">
        <v>267</v>
      </c>
      <c r="X137" s="9">
        <f>ROUND(VLOOKUP(1,$P$186:$X$206,2,FALSE),4)</f>
        <v>1.0063</v>
      </c>
    </row>
    <row r="138" spans="2:24" x14ac:dyDescent="0.15">
      <c r="B138" t="s">
        <v>155</v>
      </c>
      <c r="E138">
        <v>1.2</v>
      </c>
      <c r="M138" s="9" t="s">
        <v>263</v>
      </c>
      <c r="N138" s="9">
        <f>E81/1000</f>
        <v>1.994</v>
      </c>
      <c r="Q138" s="9" t="s">
        <v>260</v>
      </c>
      <c r="R138" s="9">
        <f>ROUND(PI()/2,3)</f>
        <v>1.571</v>
      </c>
      <c r="S138" s="9">
        <f>VLOOKUP(1,$P$142:$X$162,2,FALSE)+R139</f>
        <v>1.0726914240503629</v>
      </c>
      <c r="T138" s="9">
        <f>VLOOKUP(1,$P$164:$X$184,2,FALSE)+S139</f>
        <v>1.0117870425454072</v>
      </c>
    </row>
    <row r="139" spans="2:24" x14ac:dyDescent="0.15">
      <c r="B139" t="s">
        <v>177</v>
      </c>
      <c r="M139" s="9" t="s">
        <v>264</v>
      </c>
      <c r="N139" s="9">
        <f>E76/1000</f>
        <v>0.8882000000000001</v>
      </c>
      <c r="Q139" s="9" t="s">
        <v>261</v>
      </c>
      <c r="R139" s="9">
        <f>(R138-R137)/20</f>
        <v>5.5367619549959689E-2</v>
      </c>
      <c r="S139" s="9">
        <f>(S138-S137)/20</f>
        <v>5.5367619549959723E-3</v>
      </c>
      <c r="T139" s="9">
        <f>(T138-T137)/20</f>
        <v>5.5367619549959721E-4</v>
      </c>
    </row>
    <row r="140" spans="2:24" x14ac:dyDescent="0.15">
      <c r="B140" t="s">
        <v>178</v>
      </c>
      <c r="E140" s="28">
        <f>ROUND(E141*E144/0.3,0)</f>
        <v>93333</v>
      </c>
      <c r="F140" t="s">
        <v>26</v>
      </c>
      <c r="M140" s="10" t="s">
        <v>251</v>
      </c>
      <c r="N140" s="9">
        <f>N131*N135*N132</f>
        <v>17980.650000000001</v>
      </c>
      <c r="P140" t="s">
        <v>271</v>
      </c>
    </row>
    <row r="141" spans="2:24" x14ac:dyDescent="0.15">
      <c r="B141" t="s">
        <v>154</v>
      </c>
      <c r="E141">
        <v>1</v>
      </c>
      <c r="M141" s="10" t="s">
        <v>253</v>
      </c>
      <c r="N141" s="9">
        <f>2*N131*N135*N132^2/3</f>
        <v>10788.390000000001</v>
      </c>
      <c r="P141" s="9" t="s">
        <v>248</v>
      </c>
      <c r="Q141" s="9" t="s">
        <v>247</v>
      </c>
      <c r="R141" s="9" t="s">
        <v>249</v>
      </c>
      <c r="S141" s="9" t="s">
        <v>250</v>
      </c>
      <c r="T141" s="9" t="s">
        <v>257</v>
      </c>
      <c r="U141" s="9" t="s">
        <v>255</v>
      </c>
      <c r="V141" s="9" t="s">
        <v>258</v>
      </c>
      <c r="W141" s="9" t="s">
        <v>262</v>
      </c>
      <c r="X141" s="9" t="s">
        <v>266</v>
      </c>
    </row>
    <row r="142" spans="2:24" x14ac:dyDescent="0.15">
      <c r="B142" t="s">
        <v>156</v>
      </c>
      <c r="E142">
        <v>10</v>
      </c>
      <c r="M142" s="10" t="s">
        <v>256</v>
      </c>
      <c r="N142" s="9">
        <f>N128*N130*N132*N133</f>
        <v>7.452</v>
      </c>
      <c r="P142" s="9">
        <f>RANK(X142,$X$142:$X$162,1)</f>
        <v>21</v>
      </c>
      <c r="Q142" s="50">
        <f>R137</f>
        <v>0.46364760900080609</v>
      </c>
      <c r="R142" s="50">
        <f>$N$134*(1+$N$134*(1/TAN(Q142)))^2</f>
        <v>9</v>
      </c>
      <c r="S142" s="50">
        <f>$N$134/3*(2-$N$134*(1/TAN(Q142)))*(1+$N$134*(1/TAN(Q142)))^2</f>
        <v>0</v>
      </c>
      <c r="T142" s="51">
        <f>($N$131*$N$135*$N$132^3)/2+$N$136*$N$129^4*S142</f>
        <v>7282.1632500000005</v>
      </c>
      <c r="U142" s="52">
        <f>($N$138*$N$140+$N$139*$N$141)/($N$140*T142-$N$141^2)</f>
        <v>3.1230115584129502E-3</v>
      </c>
      <c r="V142" s="47">
        <f>$N$136*$N$129^3*U142*R142</f>
        <v>42.115459815301477</v>
      </c>
      <c r="W142" s="9">
        <f>$N$142-V142</f>
        <v>-34.663459815301479</v>
      </c>
      <c r="X142" s="9">
        <f>ABS(W142)</f>
        <v>34.663459815301479</v>
      </c>
    </row>
    <row r="143" spans="2:24" x14ac:dyDescent="0.15">
      <c r="B143" t="s">
        <v>157</v>
      </c>
      <c r="P143" s="9">
        <f t="shared" ref="P143:P162" si="0">RANK(X143,$X$142:$X$162,1)</f>
        <v>20</v>
      </c>
      <c r="Q143" s="50">
        <f>Q142+$R$139</f>
        <v>0.51901522855076576</v>
      </c>
      <c r="R143" s="50">
        <f t="shared" ref="R143:R206" si="1">$N$134*(1+$N$134*(1/TAN(Q143)))^2</f>
        <v>7.5654254301452335</v>
      </c>
      <c r="S143" s="50">
        <f t="shared" ref="S143:S162" si="2">$N$134/3*(2-$N$134*(1/TAN(Q143)))*(1+$N$134*(1/TAN(Q143)))^2</f>
        <v>0.62911090804751424</v>
      </c>
      <c r="T143" s="51">
        <f t="shared" ref="T143:T184" si="3">($N$131*$N$135*$N$132^3)/2+$N$136*$N$129^4*S143</f>
        <v>7564.9596755193397</v>
      </c>
      <c r="U143" s="52">
        <f t="shared" ref="U143:U184" si="4">($N$138*$N$140+$N$139*$N$141)/($N$140*T143-$N$141^2)</f>
        <v>2.314186813858146E-3</v>
      </c>
      <c r="V143" s="47">
        <f t="shared" ref="V143:V151" si="5">$N$136*$N$129^3*U143*R143</f>
        <v>26.233559102606947</v>
      </c>
      <c r="W143" s="9">
        <f t="shared" ref="W143:W184" si="6">$N$142-V143</f>
        <v>-18.781559102606948</v>
      </c>
      <c r="X143" s="9">
        <f t="shared" ref="X143:X184" si="7">ABS(W143)</f>
        <v>18.781559102606948</v>
      </c>
    </row>
    <row r="144" spans="2:24" x14ac:dyDescent="0.15">
      <c r="B144" t="s">
        <v>158</v>
      </c>
      <c r="E144" s="28">
        <f>2800*E142</f>
        <v>28000</v>
      </c>
      <c r="P144" s="9">
        <f t="shared" si="0"/>
        <v>19</v>
      </c>
      <c r="Q144" s="50">
        <f t="shared" ref="Q144:Q151" si="8">Q143+$R$139</f>
        <v>0.57438284810072548</v>
      </c>
      <c r="R144" s="50">
        <f t="shared" si="1"/>
        <v>6.4779932512136753</v>
      </c>
      <c r="S144" s="50">
        <f t="shared" si="2"/>
        <v>0.98208489716540659</v>
      </c>
      <c r="T144" s="51">
        <f t="shared" si="3"/>
        <v>7723.6276959700408</v>
      </c>
      <c r="U144" s="52">
        <f t="shared" si="4"/>
        <v>2.0205763135883732E-3</v>
      </c>
      <c r="V144" s="47">
        <f t="shared" si="5"/>
        <v>19.612872022686968</v>
      </c>
      <c r="W144" s="9">
        <f t="shared" si="6"/>
        <v>-12.160872022686968</v>
      </c>
      <c r="X144" s="9">
        <f t="shared" si="7"/>
        <v>12.160872022686968</v>
      </c>
    </row>
    <row r="145" spans="2:24" x14ac:dyDescent="0.15">
      <c r="B145" t="s">
        <v>160</v>
      </c>
      <c r="P145" s="9">
        <f t="shared" si="0"/>
        <v>18</v>
      </c>
      <c r="Q145" s="50">
        <f t="shared" si="8"/>
        <v>0.62975046765068521</v>
      </c>
      <c r="R145" s="50">
        <f t="shared" si="1"/>
        <v>5.6275483944868192</v>
      </c>
      <c r="S145" s="50">
        <f t="shared" si="2"/>
        <v>1.1775730685123389</v>
      </c>
      <c r="T145" s="51">
        <f t="shared" si="3"/>
        <v>7811.5030695823025</v>
      </c>
      <c r="U145" s="52">
        <f t="shared" si="4"/>
        <v>1.887918112884432E-3</v>
      </c>
      <c r="V145" s="47">
        <f t="shared" si="5"/>
        <v>15.91944186195156</v>
      </c>
      <c r="W145" s="9">
        <f t="shared" si="6"/>
        <v>-8.4674418619515599</v>
      </c>
      <c r="X145" s="9">
        <f t="shared" si="7"/>
        <v>8.4674418619515599</v>
      </c>
    </row>
    <row r="146" spans="2:24" x14ac:dyDescent="0.15">
      <c r="B146" t="s">
        <v>161</v>
      </c>
      <c r="E146" s="27">
        <f>E129</f>
        <v>0.6</v>
      </c>
      <c r="F146" t="s">
        <v>5</v>
      </c>
      <c r="P146" s="9">
        <f t="shared" si="0"/>
        <v>17</v>
      </c>
      <c r="Q146" s="50">
        <f t="shared" si="8"/>
        <v>0.68511808720064493</v>
      </c>
      <c r="R146" s="50">
        <f t="shared" si="1"/>
        <v>4.9450558247264382</v>
      </c>
      <c r="S146" s="50">
        <f t="shared" si="2"/>
        <v>1.2795362477689771</v>
      </c>
      <c r="T146" s="51">
        <f t="shared" si="3"/>
        <v>7857.3373132101169</v>
      </c>
      <c r="U146" s="52">
        <f t="shared" si="4"/>
        <v>1.825409197454152E-3</v>
      </c>
      <c r="V146" s="47">
        <f t="shared" si="5"/>
        <v>13.525610561951718</v>
      </c>
      <c r="W146" s="9">
        <f t="shared" si="6"/>
        <v>-6.0736105619517176</v>
      </c>
      <c r="X146" s="9">
        <f t="shared" si="7"/>
        <v>6.0736105619517176</v>
      </c>
    </row>
    <row r="147" spans="2:24" x14ac:dyDescent="0.15">
      <c r="B147" t="s">
        <v>162</v>
      </c>
      <c r="E147" s="27">
        <f>E131</f>
        <v>0.9</v>
      </c>
      <c r="F147" t="s">
        <v>5</v>
      </c>
      <c r="P147" s="9">
        <f t="shared" si="0"/>
        <v>16</v>
      </c>
      <c r="Q147" s="50">
        <f t="shared" si="8"/>
        <v>0.74048570675060466</v>
      </c>
      <c r="R147" s="50">
        <f t="shared" si="1"/>
        <v>4.3853182403572681</v>
      </c>
      <c r="S147" s="50">
        <f t="shared" si="2"/>
        <v>1.3241977928211943</v>
      </c>
      <c r="T147" s="51">
        <f t="shared" si="3"/>
        <v>7877.4134637542811</v>
      </c>
      <c r="U147" s="52">
        <f t="shared" si="4"/>
        <v>1.7993142631442865E-3</v>
      </c>
      <c r="V147" s="47">
        <f t="shared" si="5"/>
        <v>11.823160457873906</v>
      </c>
      <c r="W147" s="9">
        <f t="shared" si="6"/>
        <v>-4.3711604578739056</v>
      </c>
      <c r="X147" s="9">
        <f t="shared" si="7"/>
        <v>4.3711604578739056</v>
      </c>
    </row>
    <row r="148" spans="2:24" x14ac:dyDescent="0.15">
      <c r="B148" t="s">
        <v>163</v>
      </c>
      <c r="E148">
        <f>ROUND(SQRT(E146*E147),3)</f>
        <v>0.73499999999999999</v>
      </c>
      <c r="F148" t="s">
        <v>5</v>
      </c>
      <c r="P148" s="9">
        <f t="shared" si="0"/>
        <v>11</v>
      </c>
      <c r="Q148" s="50">
        <f t="shared" si="8"/>
        <v>0.79585332630056438</v>
      </c>
      <c r="R148" s="50">
        <f t="shared" si="1"/>
        <v>3.9176494181063157</v>
      </c>
      <c r="S148" s="50">
        <f t="shared" si="2"/>
        <v>1.3329080164925733</v>
      </c>
      <c r="T148" s="51">
        <f t="shared" si="3"/>
        <v>7881.3288625945024</v>
      </c>
      <c r="U148" s="52">
        <f t="shared" si="4"/>
        <v>1.7943117362117299E-3</v>
      </c>
      <c r="V148" s="47">
        <f t="shared" si="5"/>
        <v>10.532923083105358</v>
      </c>
      <c r="W148" s="9">
        <f t="shared" si="6"/>
        <v>-3.0809230831053576</v>
      </c>
      <c r="X148" s="9">
        <f t="shared" si="7"/>
        <v>3.0809230831053576</v>
      </c>
    </row>
    <row r="149" spans="2:24" x14ac:dyDescent="0.15">
      <c r="B149" t="s">
        <v>166</v>
      </c>
      <c r="D149" t="s">
        <v>159</v>
      </c>
      <c r="E149" s="27">
        <f>IF(E146&lt;=E148,E146,E148)</f>
        <v>0.6</v>
      </c>
      <c r="F149" t="s">
        <v>5</v>
      </c>
      <c r="P149" s="9">
        <f t="shared" si="0"/>
        <v>8</v>
      </c>
      <c r="Q149" s="50">
        <f t="shared" si="8"/>
        <v>0.8512209458505241</v>
      </c>
      <c r="R149" s="50">
        <f t="shared" si="1"/>
        <v>3.5205651957256316</v>
      </c>
      <c r="S149" s="50">
        <f t="shared" si="2"/>
        <v>1.318666510578119</v>
      </c>
      <c r="T149" s="51">
        <f t="shared" si="3"/>
        <v>7874.9270550354513</v>
      </c>
      <c r="U149" s="52">
        <f t="shared" si="4"/>
        <v>1.8025055412918779E-3</v>
      </c>
      <c r="V149" s="47">
        <f t="shared" si="5"/>
        <v>9.5085533027179334</v>
      </c>
      <c r="W149" s="9">
        <f t="shared" si="6"/>
        <v>-2.0565533027179335</v>
      </c>
      <c r="X149" s="9">
        <f t="shared" si="7"/>
        <v>2.0565533027179335</v>
      </c>
    </row>
    <row r="150" spans="2:24" x14ac:dyDescent="0.15">
      <c r="P150" s="9">
        <f t="shared" si="0"/>
        <v>5</v>
      </c>
      <c r="Q150" s="50">
        <f t="shared" si="8"/>
        <v>0.90658856540048383</v>
      </c>
      <c r="R150" s="50">
        <f t="shared" si="1"/>
        <v>3.1786229497431835</v>
      </c>
      <c r="S150" s="50">
        <f t="shared" si="2"/>
        <v>1.2895998559860855</v>
      </c>
      <c r="T150" s="51">
        <f t="shared" si="3"/>
        <v>7861.8610822232113</v>
      </c>
      <c r="U150" s="52">
        <f t="shared" si="4"/>
        <v>1.8194633675741336E-3</v>
      </c>
      <c r="V150" s="47">
        <f t="shared" si="5"/>
        <v>8.6657823366518851</v>
      </c>
      <c r="W150" s="9">
        <f t="shared" si="6"/>
        <v>-1.2137823366518852</v>
      </c>
      <c r="X150" s="9">
        <f t="shared" si="7"/>
        <v>1.2137823366518852</v>
      </c>
    </row>
    <row r="151" spans="2:24" x14ac:dyDescent="0.15">
      <c r="B151" t="s">
        <v>167</v>
      </c>
      <c r="P151" s="9">
        <f t="shared" si="0"/>
        <v>2</v>
      </c>
      <c r="Q151" s="50">
        <f t="shared" si="8"/>
        <v>0.96195618495044355</v>
      </c>
      <c r="R151" s="50">
        <f t="shared" si="1"/>
        <v>2.8804668811280356</v>
      </c>
      <c r="S151" s="50">
        <f t="shared" si="2"/>
        <v>1.2508966794450982</v>
      </c>
      <c r="T151" s="51">
        <f t="shared" si="3"/>
        <v>7844.4633231921307</v>
      </c>
      <c r="U151" s="52">
        <f t="shared" si="4"/>
        <v>1.8425448233222526E-3</v>
      </c>
      <c r="V151" s="47">
        <f t="shared" si="5"/>
        <v>7.9525497288008422</v>
      </c>
      <c r="W151" s="9">
        <f t="shared" si="6"/>
        <v>-0.50054972880084225</v>
      </c>
      <c r="X151" s="9">
        <f t="shared" si="7"/>
        <v>0.50054972880084225</v>
      </c>
    </row>
    <row r="152" spans="2:24" x14ac:dyDescent="0.15">
      <c r="B152" t="s">
        <v>168</v>
      </c>
      <c r="E152" s="28">
        <f>ROUND(E156*(E162/0.3)^(-3/4),0)</f>
        <v>55496</v>
      </c>
      <c r="P152" s="9">
        <f t="shared" si="0"/>
        <v>1</v>
      </c>
      <c r="Q152" s="50">
        <f t="shared" ref="Q152:Q162" si="9">Q151+$R$139</f>
        <v>1.0173238045004032</v>
      </c>
      <c r="R152" s="50">
        <f t="shared" si="1"/>
        <v>2.6175786100823721</v>
      </c>
      <c r="S152" s="50">
        <f t="shared" si="2"/>
        <v>1.2059243439760201</v>
      </c>
      <c r="T152" s="51">
        <f t="shared" si="3"/>
        <v>7824.2474668856757</v>
      </c>
      <c r="U152" s="52">
        <f t="shared" si="4"/>
        <v>1.8701116159122772E-3</v>
      </c>
      <c r="V152" s="47">
        <f t="shared" ref="V152:V162" si="10">$N$136*$N$129^3*U152*R152</f>
        <v>7.3348748224416767</v>
      </c>
      <c r="W152" s="9">
        <f t="shared" si="6"/>
        <v>0.1171251775583233</v>
      </c>
      <c r="X152" s="9">
        <f t="shared" si="7"/>
        <v>0.1171251775583233</v>
      </c>
    </row>
    <row r="153" spans="2:24" x14ac:dyDescent="0.15">
      <c r="B153" t="s">
        <v>128</v>
      </c>
      <c r="P153" s="9">
        <f t="shared" si="0"/>
        <v>3</v>
      </c>
      <c r="Q153" s="50">
        <f t="shared" si="9"/>
        <v>1.0726914240503629</v>
      </c>
      <c r="R153" s="50">
        <f t="shared" si="1"/>
        <v>2.3834553757176846</v>
      </c>
      <c r="S153" s="50">
        <f t="shared" si="2"/>
        <v>1.1568940042949363</v>
      </c>
      <c r="T153" s="51">
        <f t="shared" si="3"/>
        <v>7802.2074662650502</v>
      </c>
      <c r="U153" s="52">
        <f t="shared" si="4"/>
        <v>1.9011213089444188E-3</v>
      </c>
      <c r="V153" s="47">
        <f t="shared" si="10"/>
        <v>6.789570475154183</v>
      </c>
      <c r="W153" s="9">
        <f t="shared" si="6"/>
        <v>0.66242952484581696</v>
      </c>
      <c r="X153" s="9">
        <f t="shared" si="7"/>
        <v>0.66242952484581696</v>
      </c>
    </row>
    <row r="154" spans="2:24" x14ac:dyDescent="0.15">
      <c r="B154" t="s">
        <v>169</v>
      </c>
      <c r="P154" s="9">
        <f t="shared" si="0"/>
        <v>4</v>
      </c>
      <c r="Q154" s="50">
        <f t="shared" si="9"/>
        <v>1.1280590436003226</v>
      </c>
      <c r="R154" s="50">
        <f t="shared" si="1"/>
        <v>2.1730557469652356</v>
      </c>
      <c r="S154" s="50">
        <f t="shared" si="2"/>
        <v>1.1052677198895922</v>
      </c>
      <c r="T154" s="51">
        <f t="shared" si="3"/>
        <v>7779.0005428022423</v>
      </c>
      <c r="U154" s="52">
        <f t="shared" si="4"/>
        <v>1.9349040861168854E-3</v>
      </c>
      <c r="V154" s="47">
        <f t="shared" si="10"/>
        <v>6.3002205818980093</v>
      </c>
      <c r="W154" s="9">
        <f t="shared" si="6"/>
        <v>1.1517794181019907</v>
      </c>
      <c r="X154" s="9">
        <f t="shared" si="7"/>
        <v>1.1517794181019907</v>
      </c>
    </row>
    <row r="155" spans="2:24" x14ac:dyDescent="0.15">
      <c r="B155" t="s">
        <v>170</v>
      </c>
      <c r="P155" s="9">
        <f t="shared" si="0"/>
        <v>6</v>
      </c>
      <c r="Q155" s="50">
        <f t="shared" si="9"/>
        <v>1.1834266631502823</v>
      </c>
      <c r="R155" s="50">
        <f t="shared" si="1"/>
        <v>1.9824174090630577</v>
      </c>
      <c r="S155" s="50">
        <f t="shared" si="2"/>
        <v>1.0520137715566182</v>
      </c>
      <c r="T155" s="51">
        <f t="shared" si="3"/>
        <v>7755.0619557570799</v>
      </c>
      <c r="U155" s="52">
        <f t="shared" si="4"/>
        <v>1.9710334619870073E-3</v>
      </c>
      <c r="V155" s="47">
        <f t="shared" si="10"/>
        <v>5.8548334563666948</v>
      </c>
      <c r="W155" s="9">
        <f t="shared" si="6"/>
        <v>1.5971665436333051</v>
      </c>
      <c r="X155" s="9">
        <f t="shared" si="7"/>
        <v>1.5971665436333051</v>
      </c>
    </row>
    <row r="156" spans="2:24" x14ac:dyDescent="0.15">
      <c r="B156" t="s">
        <v>176</v>
      </c>
      <c r="E156" s="28">
        <f>ROUND(E157*E160/0.3,0)</f>
        <v>93333</v>
      </c>
      <c r="F156" t="s">
        <v>26</v>
      </c>
      <c r="P156" s="9">
        <f t="shared" si="0"/>
        <v>7</v>
      </c>
      <c r="Q156" s="50">
        <f t="shared" si="9"/>
        <v>1.2387942827002421</v>
      </c>
      <c r="R156" s="50">
        <f t="shared" si="1"/>
        <v>1.8083884299429127</v>
      </c>
      <c r="S156" s="50">
        <f t="shared" si="2"/>
        <v>0.99777027731077661</v>
      </c>
      <c r="T156" s="51">
        <f t="shared" si="3"/>
        <v>7730.6785504080754</v>
      </c>
      <c r="U156" s="52">
        <f t="shared" si="4"/>
        <v>2.0092481609212051E-3</v>
      </c>
      <c r="V156" s="47">
        <f t="shared" si="10"/>
        <v>5.4444090208286076</v>
      </c>
      <c r="W156" s="9">
        <f t="shared" si="6"/>
        <v>2.0075909791713924</v>
      </c>
      <c r="X156" s="9">
        <f t="shared" si="7"/>
        <v>2.0075909791713924</v>
      </c>
    </row>
    <row r="157" spans="2:24" x14ac:dyDescent="0.15">
      <c r="B157" t="s">
        <v>154</v>
      </c>
      <c r="E157">
        <v>1</v>
      </c>
      <c r="P157" s="9">
        <f t="shared" si="0"/>
        <v>9</v>
      </c>
      <c r="Q157" s="50">
        <f t="shared" si="9"/>
        <v>1.2941619022502018</v>
      </c>
      <c r="R157" s="50">
        <f t="shared" si="1"/>
        <v>1.6484350788687903</v>
      </c>
      <c r="S157" s="50">
        <f t="shared" si="2"/>
        <v>0.94295213748354356</v>
      </c>
      <c r="T157" s="51">
        <f t="shared" si="3"/>
        <v>7706.0368317564735</v>
      </c>
      <c r="U157" s="52">
        <f t="shared" si="4"/>
        <v>2.0494032413536957E-3</v>
      </c>
      <c r="V157" s="47">
        <f t="shared" si="10"/>
        <v>5.0620299711166288</v>
      </c>
      <c r="W157" s="9">
        <f t="shared" si="6"/>
        <v>2.3899700288833712</v>
      </c>
      <c r="X157" s="9">
        <f t="shared" si="7"/>
        <v>2.3899700288833712</v>
      </c>
    </row>
    <row r="158" spans="2:24" x14ac:dyDescent="0.15">
      <c r="B158" t="s">
        <v>156</v>
      </c>
      <c r="E158">
        <v>10</v>
      </c>
      <c r="P158" s="9">
        <f t="shared" si="0"/>
        <v>10</v>
      </c>
      <c r="Q158" s="50">
        <f t="shared" si="9"/>
        <v>1.3495295218001615</v>
      </c>
      <c r="R158" s="50">
        <f t="shared" si="1"/>
        <v>1.5005023837835987</v>
      </c>
      <c r="S158" s="50">
        <f t="shared" si="2"/>
        <v>0.88782227634863331</v>
      </c>
      <c r="T158" s="51">
        <f t="shared" si="3"/>
        <v>7681.2549888907752</v>
      </c>
      <c r="U158" s="52">
        <f t="shared" si="4"/>
        <v>2.0914385888295799E-3</v>
      </c>
      <c r="V158" s="47">
        <f t="shared" si="10"/>
        <v>4.7022666427040596</v>
      </c>
      <c r="W158" s="9">
        <f t="shared" si="6"/>
        <v>2.7497333572959404</v>
      </c>
      <c r="X158" s="9">
        <f t="shared" si="7"/>
        <v>2.7497333572959404</v>
      </c>
    </row>
    <row r="159" spans="2:24" x14ac:dyDescent="0.15">
      <c r="B159" t="s">
        <v>157</v>
      </c>
      <c r="P159" s="9">
        <f t="shared" si="0"/>
        <v>12</v>
      </c>
      <c r="Q159" s="50">
        <f t="shared" si="9"/>
        <v>1.4048971413501212</v>
      </c>
      <c r="R159" s="50">
        <f t="shared" si="1"/>
        <v>1.3629117611894002</v>
      </c>
      <c r="S159" s="50">
        <f t="shared" si="2"/>
        <v>0.83254004700565498</v>
      </c>
      <c r="T159" s="51">
        <f t="shared" si="3"/>
        <v>7656.4046538338698</v>
      </c>
      <c r="U159" s="52">
        <f t="shared" si="4"/>
        <v>2.1353580062284934E-3</v>
      </c>
      <c r="V159" s="47">
        <f t="shared" si="10"/>
        <v>4.3607770418561529</v>
      </c>
      <c r="W159" s="9">
        <f t="shared" si="6"/>
        <v>3.0912229581438471</v>
      </c>
      <c r="X159" s="9">
        <f t="shared" si="7"/>
        <v>3.0912229581438471</v>
      </c>
    </row>
    <row r="160" spans="2:24" x14ac:dyDescent="0.15">
      <c r="B160" t="s">
        <v>158</v>
      </c>
      <c r="E160" s="28">
        <f>2800*E158</f>
        <v>28000</v>
      </c>
      <c r="P160" s="9">
        <f t="shared" si="0"/>
        <v>13</v>
      </c>
      <c r="Q160" s="50">
        <f t="shared" si="9"/>
        <v>1.4602647609000809</v>
      </c>
      <c r="R160" s="50">
        <f t="shared" si="1"/>
        <v>1.2342852400745274</v>
      </c>
      <c r="S160" s="50">
        <f t="shared" si="2"/>
        <v>0.77719489423591714</v>
      </c>
      <c r="T160" s="51">
        <f t="shared" si="3"/>
        <v>7631.5260335891835</v>
      </c>
      <c r="U160" s="52">
        <f t="shared" si="4"/>
        <v>2.1812148264595491E-3</v>
      </c>
      <c r="V160" s="47">
        <f t="shared" si="10"/>
        <v>4.0340327746408198</v>
      </c>
      <c r="W160" s="9">
        <f t="shared" si="6"/>
        <v>3.4179672253591802</v>
      </c>
      <c r="X160" s="9">
        <f t="shared" si="7"/>
        <v>3.4179672253591802</v>
      </c>
    </row>
    <row r="161" spans="2:24" x14ac:dyDescent="0.15">
      <c r="B161" t="s">
        <v>171</v>
      </c>
      <c r="P161" s="9">
        <f t="shared" si="0"/>
        <v>14</v>
      </c>
      <c r="Q161" s="50">
        <f t="shared" si="9"/>
        <v>1.5156323804500407</v>
      </c>
      <c r="R161" s="50">
        <f t="shared" si="1"/>
        <v>1.1134891856995985</v>
      </c>
      <c r="S161" s="50">
        <f t="shared" si="2"/>
        <v>0.72183051054874081</v>
      </c>
      <c r="T161" s="51">
        <f t="shared" si="3"/>
        <v>7606.6387687086453</v>
      </c>
      <c r="U161" s="52">
        <f t="shared" si="4"/>
        <v>2.2291014203112119E-3</v>
      </c>
      <c r="V161" s="47">
        <f t="shared" si="10"/>
        <v>3.7191293028530716</v>
      </c>
      <c r="W161" s="9">
        <f t="shared" si="6"/>
        <v>3.7328706971469283</v>
      </c>
      <c r="X161" s="9">
        <f t="shared" si="7"/>
        <v>3.7328706971469283</v>
      </c>
    </row>
    <row r="162" spans="2:24" x14ac:dyDescent="0.15">
      <c r="B162" t="s">
        <v>172</v>
      </c>
      <c r="E162" s="27">
        <f>ROUND(SQRT(E164),3)</f>
        <v>0.6</v>
      </c>
      <c r="F162" t="s">
        <v>5</v>
      </c>
      <c r="P162" s="9">
        <f t="shared" si="0"/>
        <v>15</v>
      </c>
      <c r="Q162" s="50">
        <f t="shared" si="9"/>
        <v>1.5710000000000004</v>
      </c>
      <c r="R162" s="50">
        <f t="shared" si="1"/>
        <v>0.99959269506693538</v>
      </c>
      <c r="S162" s="50">
        <f t="shared" si="2"/>
        <v>0.66646299346156279</v>
      </c>
      <c r="T162" s="51">
        <f t="shared" si="3"/>
        <v>7581.7500953096578</v>
      </c>
      <c r="U162" s="52">
        <f t="shared" si="4"/>
        <v>2.2791407202348308E-3</v>
      </c>
      <c r="V162" s="47">
        <f t="shared" si="10"/>
        <v>3.4136552569012144</v>
      </c>
      <c r="W162" s="9">
        <f t="shared" si="6"/>
        <v>4.0383447430987855</v>
      </c>
      <c r="X162" s="9">
        <f t="shared" si="7"/>
        <v>4.0383447430987855</v>
      </c>
    </row>
    <row r="163" spans="2:24" x14ac:dyDescent="0.15">
      <c r="B163" t="s">
        <v>173</v>
      </c>
      <c r="E163" s="27"/>
      <c r="P163" t="s">
        <v>269</v>
      </c>
    </row>
    <row r="164" spans="2:24" x14ac:dyDescent="0.15">
      <c r="B164" t="s">
        <v>174</v>
      </c>
      <c r="E164" s="27">
        <f>ROUND(E129*E130,3)</f>
        <v>0.36</v>
      </c>
      <c r="F164" t="s">
        <v>175</v>
      </c>
      <c r="P164" s="9">
        <f>RANK(X164,$X$164:$X$184,1)</f>
        <v>17</v>
      </c>
      <c r="Q164" s="50">
        <f>VLOOKUP(1,$P$142:$X$162,2,FALSE)-R139</f>
        <v>0.96195618495044344</v>
      </c>
      <c r="R164" s="50">
        <f t="shared" si="1"/>
        <v>2.8804668811280365</v>
      </c>
      <c r="S164" s="50">
        <f t="shared" ref="S164" si="11">$N$134/3*(2-$N$134*(1/TAN(Q164)))*(1+$N$134*(1/TAN(Q164)))^2</f>
        <v>1.2508966794450984</v>
      </c>
      <c r="T164" s="51">
        <f t="shared" si="3"/>
        <v>7844.4633231921307</v>
      </c>
      <c r="U164" s="52">
        <f t="shared" si="4"/>
        <v>1.8425448233222526E-3</v>
      </c>
      <c r="V164" s="47">
        <f t="shared" ref="V164" si="12">$N$136*$N$129^3*U164*R164</f>
        <v>7.9525497288008449</v>
      </c>
      <c r="W164" s="9">
        <f t="shared" si="6"/>
        <v>-0.50054972880084492</v>
      </c>
      <c r="X164" s="9">
        <f t="shared" si="7"/>
        <v>0.50054972880084492</v>
      </c>
    </row>
    <row r="165" spans="2:24" x14ac:dyDescent="0.15">
      <c r="E165" s="27"/>
      <c r="P165" s="9">
        <f t="shared" ref="P165:P184" si="13">RANK(X165,$X$164:$X$184,1)</f>
        <v>15</v>
      </c>
      <c r="Q165" s="53">
        <f>Q164+$S$139</f>
        <v>0.96749294690543941</v>
      </c>
      <c r="R165" s="50">
        <f t="shared" si="1"/>
        <v>2.8527119296826475</v>
      </c>
      <c r="S165" s="50">
        <f t="shared" ref="S165:S184" si="14">$N$134/3*(2-$N$134*(1/TAN(Q165)))*(1+$N$134*(1/TAN(Q165)))^2</f>
        <v>1.2466376665595629</v>
      </c>
      <c r="T165" s="51">
        <f t="shared" si="3"/>
        <v>7842.5488219414556</v>
      </c>
      <c r="U165" s="52">
        <f t="shared" si="4"/>
        <v>1.8451205927204086E-3</v>
      </c>
      <c r="V165" s="47">
        <f t="shared" ref="V165:V173" si="15">$N$136*$N$129^3*U165*R165</f>
        <v>7.8869324250122377</v>
      </c>
      <c r="W165" s="9">
        <f t="shared" si="6"/>
        <v>-0.43493242501223772</v>
      </c>
      <c r="X165" s="9">
        <f t="shared" si="7"/>
        <v>0.43493242501223772</v>
      </c>
    </row>
    <row r="166" spans="2:24" x14ac:dyDescent="0.15">
      <c r="B166" t="s">
        <v>179</v>
      </c>
      <c r="P166" s="9">
        <f t="shared" si="13"/>
        <v>13</v>
      </c>
      <c r="Q166" s="53">
        <f t="shared" ref="Q166:Q173" si="16">Q165+$S$139</f>
        <v>0.97302970886043538</v>
      </c>
      <c r="R166" s="50">
        <f t="shared" si="1"/>
        <v>2.8253007731324571</v>
      </c>
      <c r="S166" s="50">
        <f t="shared" si="14"/>
        <v>1.24231949773066</v>
      </c>
      <c r="T166" s="51">
        <f t="shared" si="3"/>
        <v>7840.607729053092</v>
      </c>
      <c r="U166" s="52">
        <f t="shared" si="4"/>
        <v>1.8477395012184397E-3</v>
      </c>
      <c r="V166" s="47">
        <f t="shared" si="15"/>
        <v>7.8222353269048837</v>
      </c>
      <c r="W166" s="9">
        <f t="shared" si="6"/>
        <v>-0.3702353269048837</v>
      </c>
      <c r="X166" s="9">
        <f t="shared" si="7"/>
        <v>0.3702353269048837</v>
      </c>
    </row>
    <row r="167" spans="2:24" x14ac:dyDescent="0.15">
      <c r="B167" t="s">
        <v>187</v>
      </c>
      <c r="P167" s="9">
        <f t="shared" si="13"/>
        <v>11</v>
      </c>
      <c r="Q167" s="53">
        <f t="shared" si="16"/>
        <v>0.97856647081543136</v>
      </c>
      <c r="R167" s="50">
        <f t="shared" si="1"/>
        <v>2.7982263539548748</v>
      </c>
      <c r="S167" s="50">
        <f t="shared" si="14"/>
        <v>1.237944674815227</v>
      </c>
      <c r="T167" s="51">
        <f t="shared" si="3"/>
        <v>7838.6411691557214</v>
      </c>
      <c r="U167" s="52">
        <f t="shared" si="4"/>
        <v>1.8504003618861023E-3</v>
      </c>
      <c r="V167" s="47">
        <f t="shared" si="15"/>
        <v>7.7584326217907345</v>
      </c>
      <c r="W167" s="9">
        <f t="shared" si="6"/>
        <v>-0.30643262179073449</v>
      </c>
      <c r="X167" s="9">
        <f t="shared" si="7"/>
        <v>0.30643262179073449</v>
      </c>
    </row>
    <row r="168" spans="2:24" x14ac:dyDescent="0.15">
      <c r="P168" s="9">
        <f t="shared" si="13"/>
        <v>9</v>
      </c>
      <c r="Q168" s="53">
        <f t="shared" si="16"/>
        <v>0.98410323277042733</v>
      </c>
      <c r="R168" s="50">
        <f t="shared" si="1"/>
        <v>2.771481799461641</v>
      </c>
      <c r="S168" s="50">
        <f t="shared" si="14"/>
        <v>1.2335155974404763</v>
      </c>
      <c r="T168" s="51">
        <f t="shared" si="3"/>
        <v>7836.6502209240098</v>
      </c>
      <c r="U168" s="52">
        <f t="shared" si="4"/>
        <v>1.8531020394343205E-3</v>
      </c>
      <c r="V168" s="47">
        <f t="shared" si="15"/>
        <v>7.6954994338278624</v>
      </c>
      <c r="W168" s="9">
        <f t="shared" si="6"/>
        <v>-0.24349943382786243</v>
      </c>
      <c r="X168" s="9">
        <f t="shared" si="7"/>
        <v>0.24349943382786243</v>
      </c>
    </row>
    <row r="169" spans="2:24" x14ac:dyDescent="0.15">
      <c r="B169" t="s">
        <v>180</v>
      </c>
      <c r="E169">
        <f>ROUND(E129*E130*E131*D34,3)</f>
        <v>7.452</v>
      </c>
      <c r="F169" t="s">
        <v>181</v>
      </c>
      <c r="P169" s="9">
        <f t="shared" si="13"/>
        <v>7</v>
      </c>
      <c r="Q169" s="53">
        <f t="shared" si="16"/>
        <v>0.9896399947254233</v>
      </c>
      <c r="R169" s="50">
        <f t="shared" si="1"/>
        <v>2.7450604159071301</v>
      </c>
      <c r="S169" s="50">
        <f t="shared" si="14"/>
        <v>1.2290345673598864</v>
      </c>
      <c r="T169" s="51">
        <f t="shared" si="3"/>
        <v>7834.6359190366547</v>
      </c>
      <c r="U169" s="52">
        <f t="shared" si="4"/>
        <v>1.8558434478322572E-3</v>
      </c>
      <c r="V169" s="47">
        <f t="shared" si="15"/>
        <v>7.6334117811094897</v>
      </c>
      <c r="W169" s="9">
        <f t="shared" si="6"/>
        <v>-0.18141178110948974</v>
      </c>
      <c r="X169" s="9">
        <f t="shared" si="7"/>
        <v>0.18141178110948974</v>
      </c>
    </row>
    <row r="170" spans="2:24" x14ac:dyDescent="0.15">
      <c r="B170" t="s">
        <v>185</v>
      </c>
      <c r="E170" s="49">
        <f>D22</f>
        <v>1.0063</v>
      </c>
      <c r="F170" t="s">
        <v>184</v>
      </c>
      <c r="G170" t="s">
        <v>186</v>
      </c>
      <c r="P170" s="9">
        <f t="shared" si="13"/>
        <v>5</v>
      </c>
      <c r="Q170" s="53">
        <f t="shared" si="16"/>
        <v>0.99517675668041927</v>
      </c>
      <c r="R170" s="50">
        <f t="shared" si="1"/>
        <v>2.7189556828178532</v>
      </c>
      <c r="S170" s="50">
        <f t="shared" si="14"/>
        <v>1.2245037926059028</v>
      </c>
      <c r="T170" s="51">
        <f t="shared" si="3"/>
        <v>7832.5992560431041</v>
      </c>
      <c r="U170" s="52">
        <f t="shared" si="4"/>
        <v>1.8586235480556354E-3</v>
      </c>
      <c r="V170" s="47">
        <f t="shared" si="15"/>
        <v>7.5721465350938333</v>
      </c>
      <c r="W170" s="9">
        <f t="shared" si="6"/>
        <v>-0.12014653509383333</v>
      </c>
      <c r="X170" s="9">
        <f t="shared" si="7"/>
        <v>0.12014653509383333</v>
      </c>
    </row>
    <row r="171" spans="2:24" x14ac:dyDescent="0.15">
      <c r="B171" t="s">
        <v>188</v>
      </c>
      <c r="E171">
        <f>ROUND(E174*(1+E174*(1/TAN(E170)))^2,3)</f>
        <v>2.6669999999999998</v>
      </c>
      <c r="P171" s="9">
        <f t="shared" si="13"/>
        <v>3</v>
      </c>
      <c r="Q171" s="53">
        <f t="shared" si="16"/>
        <v>1.0007135186354152</v>
      </c>
      <c r="R171" s="50">
        <f t="shared" si="1"/>
        <v>2.6931612475336717</v>
      </c>
      <c r="S171" s="50">
        <f t="shared" si="14"/>
        <v>1.2199253914498658</v>
      </c>
      <c r="T171" s="51">
        <f t="shared" si="3"/>
        <v>7830.5411841436044</v>
      </c>
      <c r="U171" s="52">
        <f t="shared" si="4"/>
        <v>1.8614413459580555E-3</v>
      </c>
      <c r="V171" s="47">
        <f t="shared" si="15"/>
        <v>7.5116813822271649</v>
      </c>
      <c r="W171" s="9">
        <f t="shared" si="6"/>
        <v>-5.9681382227164903E-2</v>
      </c>
      <c r="X171" s="9">
        <f t="shared" si="7"/>
        <v>5.9681382227164903E-2</v>
      </c>
    </row>
    <row r="172" spans="2:24" x14ac:dyDescent="0.15">
      <c r="B172" t="s">
        <v>189</v>
      </c>
      <c r="E172">
        <f>ROUND(E174/3*(2-E174*(1/TAN(E170)))*(1+E174*(1/TAN(E170)))^2,3)</f>
        <v>1.2150000000000001</v>
      </c>
      <c r="P172" s="9">
        <f t="shared" si="13"/>
        <v>1</v>
      </c>
      <c r="Q172" s="53">
        <f t="shared" si="16"/>
        <v>1.0062502805904112</v>
      </c>
      <c r="R172" s="50">
        <f t="shared" si="1"/>
        <v>2.6676709199516777</v>
      </c>
      <c r="S172" s="50">
        <f t="shared" si="14"/>
        <v>1.2153013961789914</v>
      </c>
      <c r="T172" s="51">
        <f t="shared" si="3"/>
        <v>7828.46261688703</v>
      </c>
      <c r="U172" s="52">
        <f t="shared" si="4"/>
        <v>1.8642958902575768E-3</v>
      </c>
      <c r="V172" s="47">
        <f t="shared" si="15"/>
        <v>7.4519947876226809</v>
      </c>
      <c r="W172" s="9">
        <f t="shared" si="6"/>
        <v>5.2123773190970724E-6</v>
      </c>
      <c r="X172" s="9">
        <f t="shared" si="7"/>
        <v>5.2123773190970724E-6</v>
      </c>
    </row>
    <row r="173" spans="2:24" x14ac:dyDescent="0.15">
      <c r="B173" t="s">
        <v>190</v>
      </c>
      <c r="P173" s="9">
        <f t="shared" si="13"/>
        <v>2</v>
      </c>
      <c r="Q173" s="53">
        <f t="shared" si="16"/>
        <v>1.0117870425454072</v>
      </c>
      <c r="R173" s="50">
        <f t="shared" si="1"/>
        <v>2.6424786674641463</v>
      </c>
      <c r="S173" s="50">
        <f t="shared" si="14"/>
        <v>1.2106337566996943</v>
      </c>
      <c r="T173" s="51">
        <f t="shared" si="3"/>
        <v>7826.3644307906306</v>
      </c>
      <c r="U173" s="52">
        <f t="shared" si="4"/>
        <v>1.8671862706314442E-3</v>
      </c>
      <c r="V173" s="47">
        <f t="shared" si="15"/>
        <v>7.3930659606678644</v>
      </c>
      <c r="W173" s="9">
        <f t="shared" si="6"/>
        <v>5.893403933213559E-2</v>
      </c>
      <c r="X173" s="9">
        <f t="shared" si="7"/>
        <v>5.893403933213559E-2</v>
      </c>
    </row>
    <row r="174" spans="2:24" x14ac:dyDescent="0.15">
      <c r="B174" t="s">
        <v>191</v>
      </c>
      <c r="E174" s="29">
        <f>ROUND(E129/E130,3)</f>
        <v>1</v>
      </c>
      <c r="P174" s="9">
        <f t="shared" si="13"/>
        <v>4</v>
      </c>
      <c r="Q174" s="53">
        <f>Q173+$S$139</f>
        <v>1.0173238045004032</v>
      </c>
      <c r="R174" s="50">
        <f t="shared" si="1"/>
        <v>2.6175786100823721</v>
      </c>
      <c r="S174" s="50">
        <f t="shared" si="14"/>
        <v>1.2059243439760201</v>
      </c>
      <c r="T174" s="51">
        <f t="shared" si="3"/>
        <v>7824.2474668856757</v>
      </c>
      <c r="U174" s="52">
        <f t="shared" si="4"/>
        <v>1.8701116159122772E-3</v>
      </c>
      <c r="V174" s="47">
        <f t="shared" ref="V174:V182" si="17">$N$136*$N$129^3*U174*R174</f>
        <v>7.3348748224416767</v>
      </c>
      <c r="W174" s="9">
        <f t="shared" si="6"/>
        <v>0.1171251775583233</v>
      </c>
      <c r="X174" s="9">
        <f t="shared" si="7"/>
        <v>0.1171251775583233</v>
      </c>
    </row>
    <row r="175" spans="2:24" x14ac:dyDescent="0.15">
      <c r="P175" s="9">
        <f t="shared" si="13"/>
        <v>6</v>
      </c>
      <c r="Q175" s="53">
        <f t="shared" ref="Q175:Q182" si="18">Q174+$S$139</f>
        <v>1.0228605664553991</v>
      </c>
      <c r="R175" s="50">
        <f t="shared" si="1"/>
        <v>2.5929650157385784</v>
      </c>
      <c r="S175" s="50">
        <f t="shared" si="14"/>
        <v>1.2011749533114697</v>
      </c>
      <c r="T175" s="51">
        <f t="shared" si="3"/>
        <v>7822.1125321926847</v>
      </c>
      <c r="U175" s="52">
        <f t="shared" si="4"/>
        <v>1.8730710923795879E-3</v>
      </c>
      <c r="V175" s="47">
        <f t="shared" si="17"/>
        <v>7.2774019748315046</v>
      </c>
      <c r="W175" s="9">
        <f t="shared" si="6"/>
        <v>0.17459802516849532</v>
      </c>
      <c r="X175" s="9">
        <f t="shared" si="7"/>
        <v>0.17459802516849532</v>
      </c>
    </row>
    <row r="176" spans="2:24" x14ac:dyDescent="0.15">
      <c r="B176" t="s">
        <v>193</v>
      </c>
      <c r="E176" s="28">
        <f>ROUND(E129/2*E135*E131,0)</f>
        <v>17981</v>
      </c>
      <c r="P176" s="9">
        <f t="shared" si="13"/>
        <v>8</v>
      </c>
      <c r="Q176" s="53">
        <f t="shared" si="18"/>
        <v>1.0283973284103951</v>
      </c>
      <c r="R176" s="50">
        <f t="shared" si="1"/>
        <v>2.5686322957584915</v>
      </c>
      <c r="S176" s="50">
        <f t="shared" si="14"/>
        <v>1.1963873074820559</v>
      </c>
      <c r="T176" s="51">
        <f t="shared" si="3"/>
        <v>7819.9604011297961</v>
      </c>
      <c r="U176" s="52">
        <f t="shared" si="4"/>
        <v>1.8760639021407801E-3</v>
      </c>
      <c r="V176" s="47">
        <f t="shared" si="17"/>
        <v>7.2206286712469225</v>
      </c>
      <c r="W176" s="9">
        <f t="shared" si="6"/>
        <v>0.23137132875307742</v>
      </c>
      <c r="X176" s="9">
        <f t="shared" si="7"/>
        <v>0.23137132875307742</v>
      </c>
    </row>
    <row r="177" spans="2:24" x14ac:dyDescent="0.15">
      <c r="B177" t="s">
        <v>194</v>
      </c>
      <c r="E177" s="28">
        <f>ROUND(E129/2*E135*E131^2*2/3,0)</f>
        <v>10788</v>
      </c>
      <c r="P177" s="9">
        <f t="shared" si="13"/>
        <v>10</v>
      </c>
      <c r="Q177" s="53">
        <f t="shared" si="18"/>
        <v>1.0339340903653911</v>
      </c>
      <c r="R177" s="50">
        <f t="shared" si="1"/>
        <v>2.544575000497467</v>
      </c>
      <c r="S177" s="50">
        <f t="shared" si="14"/>
        <v>1.1915630597279852</v>
      </c>
      <c r="T177" s="51">
        <f t="shared" si="3"/>
        <v>7817.7918168575807</v>
      </c>
      <c r="U177" s="52">
        <f t="shared" si="4"/>
        <v>1.8790892815963604E-3</v>
      </c>
      <c r="V177" s="47">
        <f t="shared" si="17"/>
        <v>7.1645367888349432</v>
      </c>
      <c r="W177" s="9">
        <f t="shared" si="6"/>
        <v>0.2874632111650568</v>
      </c>
      <c r="X177" s="9">
        <f t="shared" si="7"/>
        <v>0.2874632111650568</v>
      </c>
    </row>
    <row r="178" spans="2:24" x14ac:dyDescent="0.15">
      <c r="B178" t="s">
        <v>265</v>
      </c>
      <c r="E178" s="28">
        <f>ROUND((E129/2*E135*E131^3)/2+E152*(E130/2)^4*E172,0)</f>
        <v>7828</v>
      </c>
      <c r="P178" s="9">
        <f t="shared" si="13"/>
        <v>12</v>
      </c>
      <c r="Q178" s="53">
        <f t="shared" si="18"/>
        <v>1.0394708523203871</v>
      </c>
      <c r="R178" s="50">
        <f t="shared" si="1"/>
        <v>2.5207878151334424</v>
      </c>
      <c r="S178" s="50">
        <f t="shared" si="14"/>
        <v>1.1867037966109752</v>
      </c>
      <c r="T178" s="51">
        <f t="shared" si="3"/>
        <v>7815.6074925634539</v>
      </c>
      <c r="U178" s="52">
        <f t="shared" si="4"/>
        <v>1.8821464999842995E-3</v>
      </c>
      <c r="V178" s="47">
        <f t="shared" si="17"/>
        <v>7.1091088021074791</v>
      </c>
      <c r="W178" s="9">
        <f t="shared" si="6"/>
        <v>0.34289119789252087</v>
      </c>
      <c r="X178" s="9">
        <f t="shared" si="7"/>
        <v>0.34289119789252087</v>
      </c>
    </row>
    <row r="179" spans="2:24" x14ac:dyDescent="0.15">
      <c r="P179" s="9">
        <f t="shared" si="13"/>
        <v>14</v>
      </c>
      <c r="Q179" s="53">
        <f t="shared" si="18"/>
        <v>1.045007614275383</v>
      </c>
      <c r="R179" s="50">
        <f t="shared" si="1"/>
        <v>2.4972655556102779</v>
      </c>
      <c r="S179" s="50">
        <f t="shared" si="14"/>
        <v>1.1818110407438314</v>
      </c>
      <c r="T179" s="51">
        <f t="shared" si="3"/>
        <v>7813.4081126886695</v>
      </c>
      <c r="U179" s="52">
        <f t="shared" si="4"/>
        <v>1.8852348579988828E-3</v>
      </c>
      <c r="V179" s="47">
        <f t="shared" si="17"/>
        <v>7.0543277578978785</v>
      </c>
      <c r="W179" s="9">
        <f t="shared" si="6"/>
        <v>0.39767224210212149</v>
      </c>
      <c r="X179" s="9">
        <f t="shared" si="7"/>
        <v>0.39767224210212149</v>
      </c>
    </row>
    <row r="180" spans="2:24" x14ac:dyDescent="0.15">
      <c r="B180" t="s">
        <v>197</v>
      </c>
      <c r="E180">
        <f>ROUND((E81/1000*E176+E86/1000*E177)/(E176*E178-E177^2),6)</f>
        <v>1.864E-3</v>
      </c>
      <c r="F180" t="s">
        <v>184</v>
      </c>
      <c r="P180" s="9">
        <f t="shared" si="13"/>
        <v>16</v>
      </c>
      <c r="Q180" s="53">
        <f t="shared" si="18"/>
        <v>1.050544376230379</v>
      </c>
      <c r="R180" s="50">
        <f t="shared" si="1"/>
        <v>2.4740031647253331</v>
      </c>
      <c r="S180" s="50">
        <f t="shared" si="14"/>
        <v>1.1768862533985451</v>
      </c>
      <c r="T180" s="51">
        <f t="shared" si="3"/>
        <v>7811.1943341007063</v>
      </c>
      <c r="U180" s="52">
        <f t="shared" si="4"/>
        <v>1.8883536864797205E-3</v>
      </c>
      <c r="V180" s="47">
        <f t="shared" si="17"/>
        <v>7.000177251569041</v>
      </c>
      <c r="W180" s="9">
        <f t="shared" si="6"/>
        <v>0.45182274843095893</v>
      </c>
      <c r="X180" s="9">
        <f t="shared" si="7"/>
        <v>0.45182274843095893</v>
      </c>
    </row>
    <row r="181" spans="2:24" x14ac:dyDescent="0.15">
      <c r="P181" s="9">
        <f t="shared" si="13"/>
        <v>18</v>
      </c>
      <c r="Q181" s="53">
        <f t="shared" si="18"/>
        <v>1.056081138185375</v>
      </c>
      <c r="R181" s="50">
        <f t="shared" si="1"/>
        <v>2.450995708355431</v>
      </c>
      <c r="S181" s="50">
        <f t="shared" si="14"/>
        <v>1.1719308369988517</v>
      </c>
      <c r="T181" s="51">
        <f t="shared" si="3"/>
        <v>7808.9667872137152</v>
      </c>
      <c r="U181" s="52">
        <f t="shared" si="4"/>
        <v>1.8915023451668302E-3</v>
      </c>
      <c r="V181" s="47">
        <f t="shared" si="17"/>
        <v>6.9466414044006015</v>
      </c>
      <c r="W181" s="9">
        <f t="shared" si="6"/>
        <v>0.50535859559939844</v>
      </c>
      <c r="X181" s="9">
        <f t="shared" si="7"/>
        <v>0.50535859559939844</v>
      </c>
    </row>
    <row r="182" spans="2:24" x14ac:dyDescent="0.15">
      <c r="B182" t="s">
        <v>198</v>
      </c>
      <c r="E182">
        <f>ROUND(E152*(E130/2)^3*E180*E171,3)</f>
        <v>7.4489999999999998</v>
      </c>
      <c r="P182" s="9">
        <f t="shared" si="13"/>
        <v>19</v>
      </c>
      <c r="Q182" s="53">
        <f t="shared" si="18"/>
        <v>1.0616179001403709</v>
      </c>
      <c r="R182" s="50">
        <f t="shared" si="1"/>
        <v>2.4282383718156408</v>
      </c>
      <c r="S182" s="50">
        <f t="shared" si="14"/>
        <v>1.166946137502864</v>
      </c>
      <c r="T182" s="51">
        <f t="shared" si="3"/>
        <v>7806.7260770595576</v>
      </c>
      <c r="U182" s="52">
        <f t="shared" si="4"/>
        <v>1.8946802215179992E-3</v>
      </c>
      <c r="V182" s="47">
        <f t="shared" si="17"/>
        <v>6.8937048420875797</v>
      </c>
      <c r="W182" s="9">
        <f t="shared" si="6"/>
        <v>0.55829515791242024</v>
      </c>
      <c r="X182" s="9">
        <f t="shared" si="7"/>
        <v>0.55829515791242024</v>
      </c>
    </row>
    <row r="183" spans="2:24" x14ac:dyDescent="0.15">
      <c r="B183" t="s">
        <v>199</v>
      </c>
      <c r="E183" s="27">
        <f>E169-E182</f>
        <v>3.0000000000001137E-3</v>
      </c>
      <c r="P183" s="9">
        <f t="shared" si="13"/>
        <v>20</v>
      </c>
      <c r="Q183" s="53">
        <f t="shared" ref="Q183:Q184" si="19">Q182+$S$139</f>
        <v>1.0671546620953669</v>
      </c>
      <c r="R183" s="50">
        <f t="shared" si="1"/>
        <v>2.4057264563455081</v>
      </c>
      <c r="S183" s="50">
        <f t="shared" si="14"/>
        <v>1.161933446681098</v>
      </c>
      <c r="T183" s="51">
        <f t="shared" si="3"/>
        <v>7804.4727843118153</v>
      </c>
      <c r="U183" s="52">
        <f t="shared" si="4"/>
        <v>1.8978867295848672E-3</v>
      </c>
      <c r="V183" s="47">
        <f t="shared" ref="V183:V184" si="20">$N$136*$N$129^3*U183*R183</f>
        <v>6.8413526742871058</v>
      </c>
      <c r="W183" s="9">
        <f t="shared" si="6"/>
        <v>0.61064732571289415</v>
      </c>
      <c r="X183" s="9">
        <f t="shared" si="7"/>
        <v>0.61064732571289415</v>
      </c>
    </row>
    <row r="184" spans="2:24" x14ac:dyDescent="0.15">
      <c r="B184" t="str">
        <f>IF(ABS(E183)&gt;0.01,"よって、βを再検討する。","よって、β="&amp;E170&amp;"でほぼよい。")</f>
        <v>よって、β=1.0063でほぼよい。</v>
      </c>
      <c r="P184" s="9">
        <f t="shared" si="13"/>
        <v>21</v>
      </c>
      <c r="Q184" s="53">
        <f t="shared" si="19"/>
        <v>1.0726914240503629</v>
      </c>
      <c r="R184" s="50">
        <f t="shared" si="1"/>
        <v>2.3834553757176846</v>
      </c>
      <c r="S184" s="50">
        <f t="shared" si="14"/>
        <v>1.1568940042949363</v>
      </c>
      <c r="T184" s="51">
        <f t="shared" si="3"/>
        <v>7802.2074662650502</v>
      </c>
      <c r="U184" s="52">
        <f t="shared" si="4"/>
        <v>1.9011213089444188E-3</v>
      </c>
      <c r="V184" s="47">
        <f t="shared" si="20"/>
        <v>6.789570475154183</v>
      </c>
      <c r="W184" s="9">
        <f t="shared" si="6"/>
        <v>0.66242952484581696</v>
      </c>
      <c r="X184" s="9">
        <f t="shared" si="7"/>
        <v>0.66242952484581696</v>
      </c>
    </row>
    <row r="185" spans="2:24" x14ac:dyDescent="0.15">
      <c r="P185" t="s">
        <v>270</v>
      </c>
    </row>
    <row r="186" spans="2:24" x14ac:dyDescent="0.15">
      <c r="B186" t="s">
        <v>200</v>
      </c>
      <c r="P186" s="9">
        <f>RANK(X186,$X$186:$X$206,1)</f>
        <v>21</v>
      </c>
      <c r="Q186" s="50">
        <f>VLOOKUP(1,$P$164:$X$184,2,FALSE)-S139</f>
        <v>1.0007135186354152</v>
      </c>
      <c r="R186" s="50">
        <f t="shared" si="1"/>
        <v>2.6931612475336717</v>
      </c>
      <c r="S186" s="50">
        <f t="shared" ref="S186" si="21">$N$134/3*(2-$N$134*(1/TAN(Q186)))*(1+$N$134*(1/TAN(Q186)))^2</f>
        <v>1.2199253914498658</v>
      </c>
      <c r="T186" s="51">
        <f t="shared" ref="T186:T206" si="22">($N$131*$N$135*$N$132^3)/2+$N$136*$N$129^4*S186</f>
        <v>7830.5411841436044</v>
      </c>
      <c r="U186" s="52">
        <f t="shared" ref="U186:U206" si="23">($N$138*$N$140+$N$139*$N$141)/($N$140*T186-$N$141^2)</f>
        <v>1.8614413459580555E-3</v>
      </c>
      <c r="V186" s="47">
        <f t="shared" ref="V186:V195" si="24">$N$136*$N$129^3*U186*R186</f>
        <v>7.5116813822271649</v>
      </c>
      <c r="W186" s="9">
        <f t="shared" ref="W186:W206" si="25">$N$142-V186</f>
        <v>-5.9681382227164903E-2</v>
      </c>
      <c r="X186" s="9">
        <f t="shared" ref="X186:X206" si="26">ABS(W186)</f>
        <v>5.9681382227164903E-2</v>
      </c>
    </row>
    <row r="187" spans="2:24" x14ac:dyDescent="0.15">
      <c r="B187" t="s">
        <v>201</v>
      </c>
      <c r="P187" s="9">
        <f t="shared" ref="P187:P206" si="27">RANK(X187,$X$186:$X$206,1)</f>
        <v>19</v>
      </c>
      <c r="Q187" s="55">
        <f>Q186+$T$139</f>
        <v>1.0012671948309149</v>
      </c>
      <c r="R187" s="50">
        <f t="shared" si="1"/>
        <v>2.6905986306849283</v>
      </c>
      <c r="S187" s="50">
        <f t="shared" ref="S187:S206" si="28">$N$134/3*(2-$N$134*(1/TAN(Q187)))*(1+$N$134*(1/TAN(Q187)))^2</f>
        <v>1.2194650108504053</v>
      </c>
      <c r="T187" s="51">
        <f t="shared" si="22"/>
        <v>7830.3342349614486</v>
      </c>
      <c r="U187" s="52">
        <f t="shared" si="23"/>
        <v>1.8617251621353861E-3</v>
      </c>
      <c r="V187" s="47">
        <f t="shared" si="24"/>
        <v>7.5056780364132187</v>
      </c>
      <c r="W187" s="9">
        <f t="shared" si="25"/>
        <v>-5.3678036413218777E-2</v>
      </c>
      <c r="X187" s="9">
        <f t="shared" si="26"/>
        <v>5.3678036413218777E-2</v>
      </c>
    </row>
    <row r="188" spans="2:24" x14ac:dyDescent="0.15">
      <c r="P188" s="9">
        <f t="shared" si="27"/>
        <v>17</v>
      </c>
      <c r="Q188" s="55">
        <f t="shared" ref="Q188:Q195" si="29">Q187+$T$139</f>
        <v>1.0018208710264145</v>
      </c>
      <c r="R188" s="50">
        <f t="shared" si="1"/>
        <v>2.6880390486810413</v>
      </c>
      <c r="S188" s="50">
        <f t="shared" si="28"/>
        <v>1.2190041763638511</v>
      </c>
      <c r="T188" s="51">
        <f t="shared" si="22"/>
        <v>7830.1270817490558</v>
      </c>
      <c r="U188" s="52">
        <f t="shared" si="23"/>
        <v>1.8620093448146119E-3</v>
      </c>
      <c r="V188" s="47">
        <f t="shared" si="24"/>
        <v>7.4996824544508014</v>
      </c>
      <c r="W188" s="9">
        <f t="shared" si="25"/>
        <v>-4.7682454450801437E-2</v>
      </c>
      <c r="X188" s="9">
        <f t="shared" si="26"/>
        <v>4.7682454450801437E-2</v>
      </c>
    </row>
    <row r="189" spans="2:24" x14ac:dyDescent="0.15">
      <c r="B189" t="s">
        <v>202</v>
      </c>
      <c r="E189">
        <f>ROUND((E81/1000*E177+E86/1000*E178)/(E81/1000*E176+E86/1000*E177),3)</f>
        <v>0.626</v>
      </c>
      <c r="P189" s="9">
        <f t="shared" si="27"/>
        <v>15</v>
      </c>
      <c r="Q189" s="55">
        <f t="shared" si="29"/>
        <v>1.0023745472219141</v>
      </c>
      <c r="R189" s="50">
        <f t="shared" si="1"/>
        <v>2.6854824954354539</v>
      </c>
      <c r="S189" s="50">
        <f t="shared" si="28"/>
        <v>1.2185428899681103</v>
      </c>
      <c r="T189" s="51">
        <f t="shared" si="22"/>
        <v>7829.9197253955299</v>
      </c>
      <c r="U189" s="52">
        <f t="shared" si="23"/>
        <v>1.8622938930715118E-3</v>
      </c>
      <c r="V189" s="47">
        <f t="shared" si="24"/>
        <v>7.4936946152967057</v>
      </c>
      <c r="W189" s="9">
        <f t="shared" si="25"/>
        <v>-4.1694615296705706E-2</v>
      </c>
      <c r="X189" s="9">
        <f t="shared" si="26"/>
        <v>4.1694615296705706E-2</v>
      </c>
    </row>
    <row r="190" spans="2:24" x14ac:dyDescent="0.15">
      <c r="B190" t="s">
        <v>203</v>
      </c>
      <c r="E190">
        <f>ROUND(E189*E180,6)</f>
        <v>1.1670000000000001E-3</v>
      </c>
      <c r="P190" s="9">
        <f t="shared" si="27"/>
        <v>13</v>
      </c>
      <c r="Q190" s="55">
        <f t="shared" si="29"/>
        <v>1.0029282234174137</v>
      </c>
      <c r="R190" s="50">
        <f t="shared" si="1"/>
        <v>2.682928964877259</v>
      </c>
      <c r="S190" s="50">
        <f t="shared" si="28"/>
        <v>1.2180811536329264</v>
      </c>
      <c r="T190" s="51">
        <f t="shared" si="22"/>
        <v>7829.7121667863048</v>
      </c>
      <c r="U190" s="52">
        <f t="shared" si="23"/>
        <v>1.8625788059859205E-3</v>
      </c>
      <c r="V190" s="47">
        <f t="shared" si="24"/>
        <v>7.4877144979814529</v>
      </c>
      <c r="W190" s="9">
        <f t="shared" si="25"/>
        <v>-3.5714497981452986E-2</v>
      </c>
      <c r="X190" s="9">
        <f t="shared" si="26"/>
        <v>3.5714497981452986E-2</v>
      </c>
    </row>
    <row r="191" spans="2:24" x14ac:dyDescent="0.15">
      <c r="P191" s="9">
        <f t="shared" si="27"/>
        <v>11</v>
      </c>
      <c r="Q191" s="55">
        <f t="shared" si="29"/>
        <v>1.0034818996129133</v>
      </c>
      <c r="R191" s="50">
        <f t="shared" si="1"/>
        <v>2.6803784509511459</v>
      </c>
      <c r="S191" s="50">
        <f t="shared" si="28"/>
        <v>1.2176189693199106</v>
      </c>
      <c r="T191" s="51">
        <f t="shared" si="22"/>
        <v>7829.5044068031602</v>
      </c>
      <c r="U191" s="52">
        <f t="shared" si="23"/>
        <v>1.8628640826417145E-3</v>
      </c>
      <c r="V191" s="47">
        <f t="shared" si="24"/>
        <v>7.4817420816089744</v>
      </c>
      <c r="W191" s="9">
        <f t="shared" si="25"/>
        <v>-2.9742081608974402E-2</v>
      </c>
      <c r="X191" s="9">
        <f t="shared" si="26"/>
        <v>2.9742081608974402E-2</v>
      </c>
    </row>
    <row r="192" spans="2:24" x14ac:dyDescent="0.15">
      <c r="B192" t="s">
        <v>204</v>
      </c>
      <c r="E192">
        <f>ROUND(2.4*E131*D35*(D37/E135),6)</f>
        <v>1.946E-3</v>
      </c>
      <c r="F192" t="str">
        <f>IF(E192&gt;G192,"≧","＜")</f>
        <v>≧</v>
      </c>
      <c r="G192">
        <f>E190</f>
        <v>1.1670000000000001E-3</v>
      </c>
      <c r="H192" t="str">
        <f>IF(E192&gt;G192,"OK","OUT")</f>
        <v>OK</v>
      </c>
      <c r="P192" s="9">
        <f t="shared" si="27"/>
        <v>9</v>
      </c>
      <c r="Q192" s="55">
        <f t="shared" si="29"/>
        <v>1.004035575808413</v>
      </c>
      <c r="R192" s="50">
        <f t="shared" si="1"/>
        <v>2.6778309476173545</v>
      </c>
      <c r="S192" s="50">
        <f t="shared" si="28"/>
        <v>1.2171563389825799</v>
      </c>
      <c r="T192" s="51">
        <f t="shared" si="22"/>
        <v>7829.2964463242361</v>
      </c>
      <c r="U192" s="52">
        <f t="shared" si="23"/>
        <v>1.8631497221267917E-3</v>
      </c>
      <c r="V192" s="47">
        <f t="shared" si="24"/>
        <v>7.4757773453562795</v>
      </c>
      <c r="W192" s="9">
        <f t="shared" si="25"/>
        <v>-2.3777345356279511E-2</v>
      </c>
      <c r="X192" s="9">
        <f t="shared" si="26"/>
        <v>2.3777345356279511E-2</v>
      </c>
    </row>
    <row r="193" spans="2:24" x14ac:dyDescent="0.15">
      <c r="P193" s="9">
        <f t="shared" si="27"/>
        <v>7</v>
      </c>
      <c r="Q193" s="55">
        <f t="shared" si="29"/>
        <v>1.0045892520039126</v>
      </c>
      <c r="R193" s="50">
        <f t="shared" si="1"/>
        <v>2.6752864488516224</v>
      </c>
      <c r="S193" s="50">
        <f t="shared" si="28"/>
        <v>1.2166932645663879</v>
      </c>
      <c r="T193" s="51">
        <f t="shared" si="22"/>
        <v>7829.0882862240487</v>
      </c>
      <c r="U193" s="52">
        <f t="shared" si="23"/>
        <v>1.8634357235330476E-3</v>
      </c>
      <c r="V193" s="47">
        <f t="shared" si="24"/>
        <v>7.4698202684730974</v>
      </c>
      <c r="W193" s="9">
        <f t="shared" si="25"/>
        <v>-1.7820268473097478E-2</v>
      </c>
      <c r="X193" s="9">
        <f t="shared" si="26"/>
        <v>1.7820268473097478E-2</v>
      </c>
    </row>
    <row r="194" spans="2:24" x14ac:dyDescent="0.15">
      <c r="B194" t="s">
        <v>205</v>
      </c>
      <c r="P194" s="9">
        <f t="shared" si="27"/>
        <v>5</v>
      </c>
      <c r="Q194" s="55">
        <f t="shared" si="29"/>
        <v>1.0051429281994122</v>
      </c>
      <c r="R194" s="50">
        <f t="shared" si="1"/>
        <v>2.672744948645144</v>
      </c>
      <c r="S194" s="50">
        <f t="shared" si="28"/>
        <v>1.2162297480087632</v>
      </c>
      <c r="T194" s="51">
        <f t="shared" si="22"/>
        <v>7828.879927373504</v>
      </c>
      <c r="U194" s="52">
        <f t="shared" si="23"/>
        <v>1.8637220859563739E-3</v>
      </c>
      <c r="V194" s="47">
        <f t="shared" si="24"/>
        <v>7.4638708302816372</v>
      </c>
      <c r="W194" s="9">
        <f t="shared" si="25"/>
        <v>-1.1870830281637268E-2</v>
      </c>
      <c r="X194" s="9">
        <f t="shared" si="26"/>
        <v>1.1870830281637268E-2</v>
      </c>
    </row>
    <row r="195" spans="2:24" x14ac:dyDescent="0.15">
      <c r="B195" t="s">
        <v>206</v>
      </c>
      <c r="E195">
        <f>ROUND(E135*E189^2*E180/4/E131,3)</f>
        <v>13.512</v>
      </c>
      <c r="F195" t="s">
        <v>209</v>
      </c>
      <c r="P195" s="9">
        <f t="shared" si="27"/>
        <v>2</v>
      </c>
      <c r="Q195" s="55">
        <f t="shared" si="29"/>
        <v>1.0056966043949118</v>
      </c>
      <c r="R195" s="50">
        <f t="shared" si="1"/>
        <v>2.6702064410045119</v>
      </c>
      <c r="S195" s="50">
        <f t="shared" si="28"/>
        <v>1.2157657912391391</v>
      </c>
      <c r="T195" s="51">
        <f t="shared" si="22"/>
        <v>7828.6713706399196</v>
      </c>
      <c r="U195" s="52">
        <f t="shared" si="23"/>
        <v>1.8640088084966161E-3</v>
      </c>
      <c r="V195" s="47">
        <f t="shared" si="24"/>
        <v>7.4579290101761444</v>
      </c>
      <c r="W195" s="9">
        <f t="shared" si="25"/>
        <v>-5.9290101761444447E-3</v>
      </c>
      <c r="X195" s="9">
        <f t="shared" si="26"/>
        <v>5.9290101761444447E-3</v>
      </c>
    </row>
    <row r="196" spans="2:24" x14ac:dyDescent="0.15">
      <c r="B196" t="s">
        <v>207</v>
      </c>
      <c r="E196">
        <f>ROUND(D37*D35*E189/2,3)</f>
        <v>18.783000000000001</v>
      </c>
      <c r="F196" t="s">
        <v>209</v>
      </c>
      <c r="P196" s="9">
        <f t="shared" si="27"/>
        <v>1</v>
      </c>
      <c r="Q196" s="55">
        <f>Q195+$T$139</f>
        <v>1.0062502805904114</v>
      </c>
      <c r="R196" s="50">
        <f t="shared" si="1"/>
        <v>2.6676709199516768</v>
      </c>
      <c r="S196" s="50">
        <f t="shared" si="28"/>
        <v>1.2153013961789911</v>
      </c>
      <c r="T196" s="51">
        <f t="shared" si="22"/>
        <v>7828.46261688703</v>
      </c>
      <c r="U196" s="52">
        <f t="shared" si="23"/>
        <v>1.8642958902575768E-3</v>
      </c>
      <c r="V196" s="47">
        <f t="shared" ref="V196:V204" si="30">$N$136*$N$129^3*U196*R196</f>
        <v>7.4519947876226782</v>
      </c>
      <c r="W196" s="9">
        <f t="shared" si="25"/>
        <v>5.2123773217616076E-6</v>
      </c>
      <c r="X196" s="9">
        <f t="shared" si="26"/>
        <v>5.2123773217616076E-6</v>
      </c>
    </row>
    <row r="197" spans="2:24" x14ac:dyDescent="0.15">
      <c r="P197" s="9">
        <f t="shared" si="27"/>
        <v>3</v>
      </c>
      <c r="Q197" s="55">
        <f t="shared" ref="Q197:Q204" si="31">Q196+$T$139</f>
        <v>1.0068039567859111</v>
      </c>
      <c r="R197" s="50">
        <f t="shared" si="1"/>
        <v>2.6651383795238948</v>
      </c>
      <c r="S197" s="50">
        <f t="shared" si="28"/>
        <v>1.2148365647418693</v>
      </c>
      <c r="T197" s="51">
        <f t="shared" si="22"/>
        <v>7828.2536669750098</v>
      </c>
      <c r="U197" s="52">
        <f t="shared" si="23"/>
        <v>1.8645833303469893E-3</v>
      </c>
      <c r="V197" s="47">
        <f t="shared" si="30"/>
        <v>7.4460681421587536</v>
      </c>
      <c r="W197" s="9">
        <f t="shared" si="25"/>
        <v>5.9318578412463907E-3</v>
      </c>
      <c r="X197" s="9">
        <f t="shared" si="26"/>
        <v>5.9318578412463907E-3</v>
      </c>
    </row>
    <row r="198" spans="2:24" x14ac:dyDescent="0.15">
      <c r="B198" t="s">
        <v>208</v>
      </c>
      <c r="E198">
        <f>ROUND(E195/E138,3)</f>
        <v>11.26</v>
      </c>
      <c r="F198" t="str">
        <f>IF(E198&lt;G198,"&lt;Pa","&gt;Pa")</f>
        <v>&lt;Pa</v>
      </c>
      <c r="G198">
        <f>E196</f>
        <v>18.783000000000001</v>
      </c>
      <c r="H198" t="str">
        <f>IF(E198&lt;G198,"OK","OUT")</f>
        <v>OK</v>
      </c>
      <c r="P198" s="9">
        <f t="shared" si="27"/>
        <v>4</v>
      </c>
      <c r="Q198" s="55">
        <f t="shared" si="31"/>
        <v>1.0073576329814107</v>
      </c>
      <c r="R198" s="50">
        <f t="shared" si="1"/>
        <v>2.6626088137736819</v>
      </c>
      <c r="S198" s="50">
        <f t="shared" si="28"/>
        <v>1.2143712988334316</v>
      </c>
      <c r="T198" s="51">
        <f t="shared" si="22"/>
        <v>7828.0445217604874</v>
      </c>
      <c r="U198" s="52">
        <f t="shared" si="23"/>
        <v>1.8648711278764977E-3</v>
      </c>
      <c r="V198" s="47">
        <f t="shared" si="30"/>
        <v>7.4401490533930144</v>
      </c>
      <c r="W198" s="9">
        <f t="shared" si="25"/>
        <v>1.1850946606985602E-2</v>
      </c>
      <c r="X198" s="9">
        <f t="shared" si="26"/>
        <v>1.1850946606985602E-2</v>
      </c>
    </row>
    <row r="199" spans="2:24" x14ac:dyDescent="0.15">
      <c r="P199" s="9">
        <f t="shared" si="27"/>
        <v>6</v>
      </c>
      <c r="Q199" s="55">
        <f t="shared" si="31"/>
        <v>1.0079113091769103</v>
      </c>
      <c r="R199" s="50">
        <f t="shared" si="1"/>
        <v>2.6600822167687657</v>
      </c>
      <c r="S199" s="50">
        <f t="shared" si="28"/>
        <v>1.2139056003514788</v>
      </c>
      <c r="T199" s="51">
        <f t="shared" si="22"/>
        <v>7827.8351820965563</v>
      </c>
      <c r="U199" s="52">
        <f t="shared" si="23"/>
        <v>1.8651592819616449E-3</v>
      </c>
      <c r="V199" s="47">
        <f t="shared" si="30"/>
        <v>7.4342375010049384</v>
      </c>
      <c r="W199" s="9">
        <f t="shared" si="25"/>
        <v>1.7762498995061549E-2</v>
      </c>
      <c r="X199" s="9">
        <f t="shared" si="26"/>
        <v>1.7762498995061549E-2</v>
      </c>
    </row>
    <row r="200" spans="2:24" x14ac:dyDescent="0.15">
      <c r="P200" s="9">
        <f t="shared" si="27"/>
        <v>8</v>
      </c>
      <c r="Q200" s="55">
        <f t="shared" si="31"/>
        <v>1.0084649853724099</v>
      </c>
      <c r="R200" s="50">
        <f t="shared" si="1"/>
        <v>2.6575585825920349</v>
      </c>
      <c r="S200" s="50">
        <f t="shared" si="28"/>
        <v>1.2134394711859851</v>
      </c>
      <c r="T200" s="51">
        <f t="shared" si="22"/>
        <v>7827.6256488327936</v>
      </c>
      <c r="U200" s="52">
        <f t="shared" si="23"/>
        <v>1.8654477917218564E-3</v>
      </c>
      <c r="V200" s="47">
        <f t="shared" si="30"/>
        <v>7.4283334647445258</v>
      </c>
      <c r="W200" s="9">
        <f t="shared" si="25"/>
        <v>2.366653525547413E-2</v>
      </c>
      <c r="X200" s="9">
        <f t="shared" si="26"/>
        <v>2.366653525547413E-2</v>
      </c>
    </row>
    <row r="201" spans="2:24" x14ac:dyDescent="0.15">
      <c r="B201" t="s">
        <v>210</v>
      </c>
      <c r="P201" s="9">
        <f t="shared" si="27"/>
        <v>10</v>
      </c>
      <c r="Q201" s="55">
        <f t="shared" si="31"/>
        <v>1.0090186615679095</v>
      </c>
      <c r="R201" s="50">
        <f t="shared" si="1"/>
        <v>2.6550379053414987</v>
      </c>
      <c r="S201" s="50">
        <f t="shared" si="28"/>
        <v>1.2129729132191349</v>
      </c>
      <c r="T201" s="51">
        <f t="shared" si="22"/>
        <v>7827.4159228152739</v>
      </c>
      <c r="U201" s="52">
        <f t="shared" si="23"/>
        <v>1.8657366562804104E-3</v>
      </c>
      <c r="V201" s="47">
        <f t="shared" si="30"/>
        <v>7.4224369244319437</v>
      </c>
      <c r="W201" s="9">
        <f t="shared" si="25"/>
        <v>2.9563075568056263E-2</v>
      </c>
      <c r="X201" s="9">
        <f t="shared" si="26"/>
        <v>2.9563075568056263E-2</v>
      </c>
    </row>
    <row r="202" spans="2:24" x14ac:dyDescent="0.15">
      <c r="B202" t="s">
        <v>211</v>
      </c>
      <c r="P202" s="9">
        <f t="shared" si="27"/>
        <v>12</v>
      </c>
      <c r="Q202" s="55">
        <f t="shared" si="31"/>
        <v>1.0095723377634092</v>
      </c>
      <c r="R202" s="50">
        <f t="shared" si="1"/>
        <v>2.6525201791302297</v>
      </c>
      <c r="S202" s="50">
        <f t="shared" si="28"/>
        <v>1.2125059283253525</v>
      </c>
      <c r="T202" s="51">
        <f t="shared" si="22"/>
        <v>7827.2060048865851</v>
      </c>
      <c r="U202" s="52">
        <f t="shared" si="23"/>
        <v>1.8660258747644385E-3</v>
      </c>
      <c r="V202" s="47">
        <f t="shared" si="30"/>
        <v>7.4165478599572712</v>
      </c>
      <c r="W202" s="9">
        <f t="shared" si="25"/>
        <v>3.5452140042728786E-2</v>
      </c>
      <c r="X202" s="9">
        <f t="shared" si="26"/>
        <v>3.5452140042728786E-2</v>
      </c>
    </row>
    <row r="203" spans="2:24" x14ac:dyDescent="0.15">
      <c r="B203" t="s">
        <v>212</v>
      </c>
      <c r="P203" s="9">
        <f t="shared" si="27"/>
        <v>14</v>
      </c>
      <c r="Q203" s="55">
        <f t="shared" si="31"/>
        <v>1.0101260139589088</v>
      </c>
      <c r="R203" s="50">
        <f t="shared" si="1"/>
        <v>2.6500053980863285</v>
      </c>
      <c r="S203" s="50">
        <f t="shared" si="28"/>
        <v>1.2120385183713385</v>
      </c>
      <c r="T203" s="51">
        <f t="shared" si="22"/>
        <v>7826.9958958858406</v>
      </c>
      <c r="U203" s="52">
        <f t="shared" si="23"/>
        <v>1.8663154463048942E-3</v>
      </c>
      <c r="V203" s="47">
        <f t="shared" si="30"/>
        <v>7.4106662512801558</v>
      </c>
      <c r="W203" s="9">
        <f t="shared" si="25"/>
        <v>4.1333748719844188E-2</v>
      </c>
      <c r="X203" s="9">
        <f t="shared" si="26"/>
        <v>4.1333748719844188E-2</v>
      </c>
    </row>
    <row r="204" spans="2:24" x14ac:dyDescent="0.15">
      <c r="P204" s="9">
        <f t="shared" si="27"/>
        <v>16</v>
      </c>
      <c r="Q204" s="55">
        <f t="shared" si="31"/>
        <v>1.0106796901544084</v>
      </c>
      <c r="R204" s="50">
        <f t="shared" si="1"/>
        <v>2.6474935563528663</v>
      </c>
      <c r="S204" s="50">
        <f t="shared" si="28"/>
        <v>1.2115706852160979</v>
      </c>
      <c r="T204" s="51">
        <f t="shared" si="22"/>
        <v>7826.7855966486959</v>
      </c>
      <c r="U204" s="52">
        <f t="shared" si="23"/>
        <v>1.8666053700365456E-3</v>
      </c>
      <c r="V204" s="47">
        <f t="shared" si="30"/>
        <v>7.404792078429522</v>
      </c>
      <c r="W204" s="9">
        <f t="shared" si="25"/>
        <v>4.7207921570477929E-2</v>
      </c>
      <c r="X204" s="9">
        <f t="shared" si="26"/>
        <v>4.7207921570477929E-2</v>
      </c>
    </row>
    <row r="205" spans="2:24" x14ac:dyDescent="0.15">
      <c r="P205" s="9">
        <f t="shared" si="27"/>
        <v>18</v>
      </c>
      <c r="Q205" s="55">
        <f t="shared" ref="Q205:Q206" si="32">Q204+$T$139</f>
        <v>1.011233366349908</v>
      </c>
      <c r="R205" s="50">
        <f t="shared" si="1"/>
        <v>2.6449846480878438</v>
      </c>
      <c r="S205" s="50">
        <f t="shared" si="28"/>
        <v>1.211102430710977</v>
      </c>
      <c r="T205" s="51">
        <f t="shared" si="22"/>
        <v>7826.5751080073651</v>
      </c>
      <c r="U205" s="52">
        <f t="shared" si="23"/>
        <v>1.8668956450979498E-3</v>
      </c>
      <c r="V205" s="47">
        <f t="shared" ref="V205:V206" si="33">$N$136*$N$129^3*U205*R205</f>
        <v>7.3989253215032411</v>
      </c>
      <c r="W205" s="9">
        <f t="shared" si="25"/>
        <v>5.3074678496758843E-2</v>
      </c>
      <c r="X205" s="9">
        <f t="shared" si="26"/>
        <v>5.3074678496758843E-2</v>
      </c>
    </row>
    <row r="206" spans="2:24" x14ac:dyDescent="0.15">
      <c r="P206" s="9">
        <f t="shared" si="27"/>
        <v>20</v>
      </c>
      <c r="Q206" s="55">
        <f t="shared" si="32"/>
        <v>1.0117870425454076</v>
      </c>
      <c r="R206" s="50">
        <f t="shared" si="1"/>
        <v>2.6424786674641449</v>
      </c>
      <c r="S206" s="50">
        <f t="shared" si="28"/>
        <v>1.2106337566996941</v>
      </c>
      <c r="T206" s="51">
        <f t="shared" si="22"/>
        <v>7826.3644307906306</v>
      </c>
      <c r="U206" s="52">
        <f t="shared" si="23"/>
        <v>1.8671862706314442E-3</v>
      </c>
      <c r="V206" s="47">
        <f t="shared" si="33"/>
        <v>7.3930659606678608</v>
      </c>
      <c r="W206" s="9">
        <f t="shared" si="25"/>
        <v>5.8934039332139143E-2</v>
      </c>
      <c r="X206" s="9">
        <f t="shared" si="26"/>
        <v>5.8934039332139143E-2</v>
      </c>
    </row>
  </sheetData>
  <sheetProtection sheet="1" objects="1" scenarios="1"/>
  <mergeCells count="1">
    <mergeCell ref="E53:H53"/>
  </mergeCells>
  <phoneticPr fontId="2"/>
  <conditionalFormatting sqref="G92">
    <cfRule type="cellIs" dxfId="3" priority="4" operator="equal">
      <formula>"OUT"</formula>
    </cfRule>
  </conditionalFormatting>
  <conditionalFormatting sqref="H192">
    <cfRule type="cellIs" dxfId="2" priority="3" operator="equal">
      <formula>"OUT"</formula>
    </cfRule>
  </conditionalFormatting>
  <conditionalFormatting sqref="H198">
    <cfRule type="cellIs" dxfId="1" priority="2" operator="equal">
      <formula>"OUT"</formula>
    </cfRule>
  </conditionalFormatting>
  <conditionalFormatting sqref="G103">
    <cfRule type="cellIs" dxfId="0" priority="1" operator="equal">
      <formula>"OUT"</formula>
    </cfRule>
  </conditionalFormatting>
  <pageMargins left="0.70866141732283472" right="0.70866141732283472" top="0.74803149606299213" bottom="0.74803149606299213" header="0.31496062992125984" footer="0.31496062992125984"/>
  <pageSetup paperSize="9" scale="98" orientation="portrait" r:id="rId1"/>
  <headerFooter>
    <oddFooter>&amp;P / &amp;N ページ</oddFooter>
  </headerFooter>
  <rowBreaks count="3" manualBreakCount="3">
    <brk id="57" max="7" man="1"/>
    <brk id="105" max="7" man="1"/>
    <brk id="165"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B16" sqref="B16"/>
    </sheetView>
  </sheetViews>
  <sheetFormatPr defaultRowHeight="13.5" x14ac:dyDescent="0.15"/>
  <cols>
    <col min="2" max="2" width="10" bestFit="1" customWidth="1"/>
    <col min="3" max="3" width="16.875" bestFit="1" customWidth="1"/>
  </cols>
  <sheetData>
    <row r="1" spans="1:11" x14ac:dyDescent="0.15">
      <c r="A1" s="9"/>
      <c r="B1" s="9" t="s">
        <v>16</v>
      </c>
      <c r="C1" s="9" t="s">
        <v>84</v>
      </c>
      <c r="D1" s="9" t="s">
        <v>85</v>
      </c>
      <c r="F1" t="s">
        <v>86</v>
      </c>
      <c r="I1" t="s">
        <v>87</v>
      </c>
    </row>
    <row r="2" spans="1:11" x14ac:dyDescent="0.15">
      <c r="A2" s="9">
        <v>1</v>
      </c>
      <c r="B2" s="9" t="s">
        <v>88</v>
      </c>
      <c r="C2" s="9">
        <v>20.100000000000001</v>
      </c>
      <c r="D2" s="9">
        <v>6</v>
      </c>
      <c r="F2" s="9">
        <v>77</v>
      </c>
      <c r="G2" s="9" t="s">
        <v>26</v>
      </c>
      <c r="I2" s="9" t="s">
        <v>89</v>
      </c>
      <c r="J2" s="9">
        <v>1.23</v>
      </c>
      <c r="K2" s="9" t="s">
        <v>90</v>
      </c>
    </row>
    <row r="3" spans="1:11" x14ac:dyDescent="0.15">
      <c r="A3" s="9">
        <v>2</v>
      </c>
      <c r="B3" s="9" t="s">
        <v>91</v>
      </c>
      <c r="C3" s="9">
        <v>36.6</v>
      </c>
      <c r="D3" s="9">
        <v>8</v>
      </c>
      <c r="F3" s="9">
        <f>F2/1000</f>
        <v>7.6999999999999999E-2</v>
      </c>
      <c r="G3" s="9" t="s">
        <v>92</v>
      </c>
    </row>
    <row r="4" spans="1:11" x14ac:dyDescent="0.15">
      <c r="A4" s="9">
        <v>3</v>
      </c>
      <c r="B4" s="9" t="s">
        <v>93</v>
      </c>
      <c r="C4" s="9">
        <v>58</v>
      </c>
      <c r="D4" s="9">
        <v>10</v>
      </c>
      <c r="F4" s="9">
        <v>9.8070000000000004</v>
      </c>
      <c r="G4" s="9"/>
    </row>
    <row r="5" spans="1:11" x14ac:dyDescent="0.15">
      <c r="A5" s="9">
        <v>4</v>
      </c>
      <c r="B5" s="9" t="s">
        <v>94</v>
      </c>
      <c r="C5" s="9">
        <v>84.3</v>
      </c>
      <c r="D5" s="9">
        <v>12</v>
      </c>
    </row>
    <row r="6" spans="1:11" x14ac:dyDescent="0.15">
      <c r="A6" s="9">
        <v>5</v>
      </c>
      <c r="B6" s="9" t="s">
        <v>95</v>
      </c>
      <c r="C6" s="9">
        <v>115.4</v>
      </c>
      <c r="D6" s="9">
        <v>14</v>
      </c>
    </row>
    <row r="7" spans="1:11" x14ac:dyDescent="0.15">
      <c r="A7" s="9">
        <v>6</v>
      </c>
      <c r="B7" s="9" t="s">
        <v>96</v>
      </c>
      <c r="C7" s="9">
        <v>156.69999999999999</v>
      </c>
      <c r="D7" s="9">
        <v>16</v>
      </c>
    </row>
    <row r="8" spans="1:11" x14ac:dyDescent="0.15">
      <c r="A8" s="9">
        <v>7</v>
      </c>
      <c r="B8" s="9" t="s">
        <v>97</v>
      </c>
      <c r="C8" s="9">
        <v>244.8</v>
      </c>
      <c r="D8" s="9">
        <v>20</v>
      </c>
    </row>
    <row r="9" spans="1:11" x14ac:dyDescent="0.15">
      <c r="A9" s="9">
        <v>8</v>
      </c>
      <c r="B9" s="9" t="s">
        <v>98</v>
      </c>
      <c r="C9" s="9">
        <v>303.39999999999998</v>
      </c>
      <c r="D9" s="9">
        <v>22</v>
      </c>
    </row>
    <row r="10" spans="1:11" x14ac:dyDescent="0.15">
      <c r="A10" s="9">
        <v>9</v>
      </c>
      <c r="B10" s="9" t="s">
        <v>99</v>
      </c>
      <c r="C10" s="9">
        <v>352.5</v>
      </c>
      <c r="D10" s="9">
        <v>24</v>
      </c>
    </row>
    <row r="11" spans="1:11" x14ac:dyDescent="0.15">
      <c r="A11" s="9">
        <v>10</v>
      </c>
      <c r="B11" s="9" t="s">
        <v>100</v>
      </c>
      <c r="C11" s="9">
        <v>459.4</v>
      </c>
      <c r="D11" s="9">
        <v>27</v>
      </c>
    </row>
    <row r="12" spans="1:11" x14ac:dyDescent="0.15">
      <c r="A12" s="9">
        <v>11</v>
      </c>
      <c r="B12" s="9" t="s">
        <v>101</v>
      </c>
      <c r="C12" s="9">
        <v>560.6</v>
      </c>
      <c r="D12" s="9">
        <v>30</v>
      </c>
    </row>
    <row r="13" spans="1:11" x14ac:dyDescent="0.15">
      <c r="A13" s="9">
        <v>12</v>
      </c>
      <c r="B13" s="9" t="s">
        <v>102</v>
      </c>
      <c r="C13" s="9">
        <v>816.7</v>
      </c>
      <c r="D13" s="9">
        <v>36</v>
      </c>
    </row>
    <row r="15" spans="1:11" x14ac:dyDescent="0.15">
      <c r="A15" t="s">
        <v>103</v>
      </c>
      <c r="B15" s="9">
        <v>7</v>
      </c>
    </row>
    <row r="16" spans="1:11" x14ac:dyDescent="0.15">
      <c r="A16" t="s">
        <v>104</v>
      </c>
      <c r="B16" s="9">
        <v>10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3" sqref="D3"/>
    </sheetView>
  </sheetViews>
  <sheetFormatPr defaultRowHeight="13.5" x14ac:dyDescent="0.15"/>
  <sheetData>
    <row r="1" spans="1:4" x14ac:dyDescent="0.15">
      <c r="A1" t="s">
        <v>213</v>
      </c>
      <c r="B1" t="s">
        <v>214</v>
      </c>
      <c r="C1" t="s">
        <v>215</v>
      </c>
      <c r="D1" t="s">
        <v>216</v>
      </c>
    </row>
    <row r="2" spans="1:4" x14ac:dyDescent="0.15">
      <c r="A2" t="s">
        <v>82</v>
      </c>
      <c r="B2">
        <v>1</v>
      </c>
      <c r="C2">
        <f>-条件!D26/1000/2</f>
        <v>-3.8149999999999996E-2</v>
      </c>
      <c r="D2" s="29">
        <f>-条件!D21</f>
        <v>-0.9</v>
      </c>
    </row>
    <row r="3" spans="1:4" x14ac:dyDescent="0.15">
      <c r="B3">
        <v>2</v>
      </c>
      <c r="C3">
        <f>C2</f>
        <v>-3.8149999999999996E-2</v>
      </c>
      <c r="D3">
        <f>条件!D16+条件!D15+条件!D11/1.414*2-0.15</f>
        <v>2.9083875530410186</v>
      </c>
    </row>
    <row r="4" spans="1:4" x14ac:dyDescent="0.15">
      <c r="B4">
        <v>3</v>
      </c>
      <c r="C4">
        <f>C3+条件!D26/1000</f>
        <v>3.8149999999999996E-2</v>
      </c>
      <c r="D4">
        <f>D3</f>
        <v>2.9083875530410186</v>
      </c>
    </row>
    <row r="5" spans="1:4" x14ac:dyDescent="0.15">
      <c r="B5">
        <v>4</v>
      </c>
      <c r="C5">
        <f>C4</f>
        <v>3.8149999999999996E-2</v>
      </c>
      <c r="D5">
        <f>D2</f>
        <v>-0.9</v>
      </c>
    </row>
    <row r="6" spans="1:4" x14ac:dyDescent="0.15">
      <c r="B6">
        <v>5</v>
      </c>
      <c r="C6">
        <f>C2</f>
        <v>-3.8149999999999996E-2</v>
      </c>
      <c r="D6">
        <f>D2</f>
        <v>-0.9</v>
      </c>
    </row>
    <row r="7" spans="1:4" x14ac:dyDescent="0.15">
      <c r="A7" t="s">
        <v>21</v>
      </c>
      <c r="B7">
        <v>1</v>
      </c>
      <c r="C7">
        <v>0</v>
      </c>
      <c r="D7">
        <f>条件!D16+条件!D15</f>
        <v>2.04</v>
      </c>
    </row>
    <row r="8" spans="1:4" x14ac:dyDescent="0.15">
      <c r="B8">
        <v>2</v>
      </c>
      <c r="C8">
        <f>-条件!D11/1.414</f>
        <v>-0.50919377652050923</v>
      </c>
      <c r="D8">
        <f>D7+条件!D11/1.414</f>
        <v>2.549193776520509</v>
      </c>
    </row>
    <row r="9" spans="1:4" x14ac:dyDescent="0.15">
      <c r="B9">
        <v>3</v>
      </c>
      <c r="C9">
        <f>C7</f>
        <v>0</v>
      </c>
      <c r="D9">
        <f>D7+条件!D11/1.414*2</f>
        <v>3.0583875530410185</v>
      </c>
    </row>
    <row r="10" spans="1:4" x14ac:dyDescent="0.15">
      <c r="B10">
        <v>4</v>
      </c>
      <c r="C10">
        <f>条件!D11/1.414</f>
        <v>0.50919377652050923</v>
      </c>
      <c r="D10">
        <f>D8</f>
        <v>2.549193776520509</v>
      </c>
    </row>
    <row r="11" spans="1:4" x14ac:dyDescent="0.15">
      <c r="B11">
        <v>5</v>
      </c>
      <c r="C11">
        <f>C7</f>
        <v>0</v>
      </c>
      <c r="D11">
        <f>D7</f>
        <v>2.04</v>
      </c>
    </row>
    <row r="12" spans="1:4" x14ac:dyDescent="0.15">
      <c r="A12" t="s">
        <v>115</v>
      </c>
      <c r="B12">
        <v>1</v>
      </c>
      <c r="C12">
        <f>-条件!D14/2</f>
        <v>-0.32</v>
      </c>
      <c r="D12">
        <f>条件!D16</f>
        <v>1.8</v>
      </c>
    </row>
    <row r="13" spans="1:4" x14ac:dyDescent="0.15">
      <c r="B13">
        <v>2</v>
      </c>
      <c r="C13">
        <f>C12</f>
        <v>-0.32</v>
      </c>
      <c r="D13">
        <f>D12+条件!D15</f>
        <v>2.04</v>
      </c>
    </row>
    <row r="14" spans="1:4" x14ac:dyDescent="0.15">
      <c r="B14">
        <v>3</v>
      </c>
      <c r="C14">
        <f>C13+条件!D14</f>
        <v>0.32</v>
      </c>
      <c r="D14">
        <f>D13</f>
        <v>2.04</v>
      </c>
    </row>
    <row r="15" spans="1:4" x14ac:dyDescent="0.15">
      <c r="B15">
        <v>4</v>
      </c>
      <c r="C15">
        <f>C14</f>
        <v>0.32</v>
      </c>
      <c r="D15">
        <f>D12</f>
        <v>1.8</v>
      </c>
    </row>
    <row r="16" spans="1:4" x14ac:dyDescent="0.15">
      <c r="B16">
        <v>5</v>
      </c>
      <c r="C16">
        <f>C12</f>
        <v>-0.32</v>
      </c>
      <c r="D16">
        <f>D12</f>
        <v>1.8</v>
      </c>
    </row>
    <row r="17" spans="1:4" x14ac:dyDescent="0.15">
      <c r="A17" t="s">
        <v>7</v>
      </c>
      <c r="B17">
        <v>1</v>
      </c>
      <c r="C17">
        <f>-条件!D19/2</f>
        <v>-0.3</v>
      </c>
      <c r="D17" s="29">
        <f>-条件!D21</f>
        <v>-0.9</v>
      </c>
    </row>
    <row r="18" spans="1:4" x14ac:dyDescent="0.15">
      <c r="B18">
        <v>2</v>
      </c>
      <c r="C18">
        <f>C17</f>
        <v>-0.3</v>
      </c>
      <c r="D18">
        <v>0</v>
      </c>
    </row>
    <row r="19" spans="1:4" x14ac:dyDescent="0.15">
      <c r="B19">
        <v>3</v>
      </c>
      <c r="C19">
        <f>条件!D19/2</f>
        <v>0.3</v>
      </c>
      <c r="D19">
        <f>D18</f>
        <v>0</v>
      </c>
    </row>
    <row r="20" spans="1:4" x14ac:dyDescent="0.15">
      <c r="B20">
        <v>4</v>
      </c>
      <c r="C20">
        <f>C19</f>
        <v>0.3</v>
      </c>
      <c r="D20" s="29">
        <f>D17</f>
        <v>-0.9</v>
      </c>
    </row>
    <row r="21" spans="1:4" x14ac:dyDescent="0.15">
      <c r="B21">
        <v>5</v>
      </c>
      <c r="C21">
        <f>C17</f>
        <v>-0.3</v>
      </c>
      <c r="D21" s="29">
        <f>D17</f>
        <v>-0.9</v>
      </c>
    </row>
  </sheetData>
  <sheetProtection sheet="1" objects="1" scenarios="1"/>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条件</vt:lpstr>
      <vt:lpstr>計算</vt:lpstr>
      <vt:lpstr>数値表</vt:lpstr>
      <vt:lpstr>図化</vt:lpstr>
      <vt:lpstr>計算!Print_Area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sangyo</dc:creator>
  <cp:lastModifiedBy>sakawa</cp:lastModifiedBy>
  <cp:lastPrinted>2016-12-15T00:21:41Z</cp:lastPrinted>
  <dcterms:created xsi:type="dcterms:W3CDTF">2016-12-02T05:14:11Z</dcterms:created>
  <dcterms:modified xsi:type="dcterms:W3CDTF">2016-12-16T23:12:43Z</dcterms:modified>
</cp:coreProperties>
</file>