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12000"/>
  </bookViews>
  <sheets>
    <sheet name="条件" sheetId="1" r:id="rId1"/>
    <sheet name="計算" sheetId="2" r:id="rId2"/>
    <sheet name="数値表" sheetId="3" r:id="rId3"/>
    <sheet name="図化" sheetId="4" r:id="rId4"/>
  </sheets>
  <definedNames>
    <definedName name="_xlnm.Print_Area" localSheetId="1">計算!$A$1:$H$200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B44" i="2" l="1"/>
  <c r="B45" i="2"/>
  <c r="D45" i="2"/>
  <c r="F45" i="2"/>
  <c r="B46" i="2"/>
  <c r="E46" i="2"/>
  <c r="F46" i="2"/>
  <c r="R134" i="2" l="1"/>
  <c r="N133" i="2" l="1"/>
  <c r="E53" i="1" l="1"/>
  <c r="D2" i="4"/>
  <c r="D47" i="1"/>
  <c r="E97" i="2" l="1"/>
  <c r="D46" i="2"/>
  <c r="C57" i="1"/>
  <c r="G56" i="1"/>
  <c r="C56" i="1"/>
  <c r="C55" i="1"/>
  <c r="C54" i="1"/>
  <c r="G51" i="1"/>
  <c r="D19" i="4"/>
  <c r="C19" i="4"/>
  <c r="C20" i="4" s="1"/>
  <c r="C17" i="4"/>
  <c r="C18" i="4" s="1"/>
  <c r="D17" i="4"/>
  <c r="D20" i="4" s="1"/>
  <c r="D12" i="4"/>
  <c r="D15" i="4" s="1"/>
  <c r="C12" i="4"/>
  <c r="C16" i="4" s="1"/>
  <c r="D5" i="4"/>
  <c r="D6" i="4"/>
  <c r="C2" i="4"/>
  <c r="C3" i="4" s="1"/>
  <c r="C4" i="4" s="1"/>
  <c r="C5" i="4" s="1"/>
  <c r="D4" i="4"/>
  <c r="D16" i="4" l="1"/>
  <c r="D21" i="4"/>
  <c r="D13" i="4"/>
  <c r="D14" i="4" s="1"/>
  <c r="C21" i="4"/>
  <c r="C6" i="4"/>
  <c r="C13" i="4"/>
  <c r="C14" i="4" s="1"/>
  <c r="C15" i="4" s="1"/>
  <c r="E17" i="2"/>
  <c r="E18" i="2"/>
  <c r="D17" i="2"/>
  <c r="E126" i="2" s="1"/>
  <c r="N124" i="2" s="1"/>
  <c r="N125" i="2" s="1"/>
  <c r="D18" i="2"/>
  <c r="C17" i="2"/>
  <c r="C18" i="2"/>
  <c r="B17" i="2"/>
  <c r="B18" i="2"/>
  <c r="A7" i="2"/>
  <c r="A6" i="2"/>
  <c r="B19" i="2"/>
  <c r="C19" i="2"/>
  <c r="E19" i="2"/>
  <c r="E156" i="2"/>
  <c r="E152" i="2" s="1"/>
  <c r="E127" i="2" l="1"/>
  <c r="N128" i="2" s="1"/>
  <c r="C99" i="2"/>
  <c r="E140" i="2"/>
  <c r="E136" i="2" s="1"/>
  <c r="D61" i="2" l="1"/>
  <c r="F3" i="3"/>
  <c r="A1" i="2" l="1"/>
  <c r="A3" i="2"/>
  <c r="A4" i="2"/>
  <c r="A5" i="2"/>
  <c r="A9" i="2"/>
  <c r="A10" i="2"/>
  <c r="B11" i="2"/>
  <c r="C11" i="2"/>
  <c r="D11" i="2"/>
  <c r="E11" i="2"/>
  <c r="B12" i="2"/>
  <c r="C12" i="2"/>
  <c r="D12" i="2"/>
  <c r="E12" i="2"/>
  <c r="B13" i="2"/>
  <c r="C13" i="2"/>
  <c r="D13" i="2"/>
  <c r="E80" i="2" s="1"/>
  <c r="E13" i="2"/>
  <c r="B15" i="2"/>
  <c r="B16" i="2"/>
  <c r="C16" i="2"/>
  <c r="D16" i="2"/>
  <c r="E125" i="2" s="1"/>
  <c r="N126" i="2" s="1"/>
  <c r="E16" i="2"/>
  <c r="E143" i="2"/>
  <c r="A21" i="2"/>
  <c r="B22" i="2"/>
  <c r="C22" i="2"/>
  <c r="D22" i="2"/>
  <c r="E22" i="2"/>
  <c r="C23" i="2"/>
  <c r="D23" i="2"/>
  <c r="E23" i="2"/>
  <c r="A25" i="2"/>
  <c r="B26" i="2"/>
  <c r="B60" i="2" s="1"/>
  <c r="D26" i="2"/>
  <c r="D60" i="2" s="1"/>
  <c r="E26" i="2"/>
  <c r="E60" i="2" s="1"/>
  <c r="B27" i="2"/>
  <c r="B62" i="2" s="1"/>
  <c r="C27" i="2"/>
  <c r="C62" i="2" s="1"/>
  <c r="D27" i="2"/>
  <c r="D62" i="2" s="1"/>
  <c r="C28" i="2"/>
  <c r="C63" i="2" s="1"/>
  <c r="D28" i="2"/>
  <c r="D63" i="2" s="1"/>
  <c r="A30" i="2"/>
  <c r="B31" i="2"/>
  <c r="C31" i="2"/>
  <c r="D31" i="2"/>
  <c r="N129" i="2" s="1"/>
  <c r="E31" i="2"/>
  <c r="B32" i="2"/>
  <c r="C32" i="2"/>
  <c r="D32" i="2"/>
  <c r="E32" i="2"/>
  <c r="B33" i="2"/>
  <c r="D33" i="2"/>
  <c r="B34" i="2"/>
  <c r="C34" i="2"/>
  <c r="D34" i="2"/>
  <c r="B35" i="2"/>
  <c r="D35" i="2"/>
  <c r="E35" i="2"/>
  <c r="A37" i="2"/>
  <c r="B38" i="2"/>
  <c r="D38" i="2"/>
  <c r="E38" i="2"/>
  <c r="B39" i="2"/>
  <c r="D39" i="2"/>
  <c r="E39" i="2"/>
  <c r="F39" i="2"/>
  <c r="B40" i="2"/>
  <c r="D40" i="2"/>
  <c r="E40" i="2"/>
  <c r="F40" i="2"/>
  <c r="B41" i="2"/>
  <c r="D41" i="2"/>
  <c r="K89" i="2" s="1"/>
  <c r="E41" i="2"/>
  <c r="F41" i="2"/>
  <c r="B42" i="2"/>
  <c r="D42" i="2"/>
  <c r="E42" i="2"/>
  <c r="F42" i="2"/>
  <c r="B43" i="2"/>
  <c r="D43" i="2"/>
  <c r="E43" i="2"/>
  <c r="F43" i="2"/>
  <c r="N138" i="2" l="1"/>
  <c r="N130" i="2"/>
  <c r="N127" i="2"/>
  <c r="R130" i="2" s="1"/>
  <c r="R133" i="2" s="1"/>
  <c r="E170" i="2"/>
  <c r="E142" i="2"/>
  <c r="E144" i="2" s="1"/>
  <c r="E145" i="2" s="1"/>
  <c r="E160" i="2"/>
  <c r="E158" i="2" s="1"/>
  <c r="E148" i="2" s="1"/>
  <c r="N132" i="2" s="1"/>
  <c r="E165" i="2"/>
  <c r="E79" i="2"/>
  <c r="E57" i="2"/>
  <c r="E58" i="2"/>
  <c r="E71" i="2" s="1"/>
  <c r="M52" i="2"/>
  <c r="B52" i="2"/>
  <c r="L52" i="2"/>
  <c r="D52" i="2"/>
  <c r="C52" i="2" s="1"/>
  <c r="Q138" i="2" l="1"/>
  <c r="S138" i="2" s="1"/>
  <c r="R135" i="2"/>
  <c r="E131" i="2"/>
  <c r="N131" i="2" s="1"/>
  <c r="E70" i="2"/>
  <c r="E77" i="2" s="1"/>
  <c r="P52" i="2"/>
  <c r="Q52" i="2"/>
  <c r="N52" i="2"/>
  <c r="O52" i="2"/>
  <c r="R138" i="2" l="1"/>
  <c r="Q139" i="2"/>
  <c r="N137" i="2"/>
  <c r="T138" i="2"/>
  <c r="N136" i="2"/>
  <c r="E188" i="2"/>
  <c r="E56" i="1" s="1"/>
  <c r="E173" i="2"/>
  <c r="E172" i="2"/>
  <c r="N134" i="2"/>
  <c r="E72" i="2"/>
  <c r="N135" i="2" s="1"/>
  <c r="AC52" i="2"/>
  <c r="AD52" i="2" s="1"/>
  <c r="AB52" i="2"/>
  <c r="AE52" i="2" s="1"/>
  <c r="X52" i="2"/>
  <c r="Y52" i="2" s="1"/>
  <c r="W52" i="2"/>
  <c r="Z52" i="2" s="1"/>
  <c r="S52" i="2"/>
  <c r="T52" i="2" s="1"/>
  <c r="R52" i="2"/>
  <c r="U52" i="2" s="1"/>
  <c r="AH52" i="2"/>
  <c r="AI52" i="2" s="1"/>
  <c r="AG52" i="2"/>
  <c r="AJ52" i="2" s="1"/>
  <c r="S139" i="2" l="1"/>
  <c r="R139" i="2"/>
  <c r="Q140" i="2"/>
  <c r="T139" i="2"/>
  <c r="U139" i="2" s="1"/>
  <c r="U138" i="2"/>
  <c r="V138" i="2" s="1"/>
  <c r="W138" i="2" s="1"/>
  <c r="X138" i="2" s="1"/>
  <c r="E82" i="2"/>
  <c r="E96" i="2"/>
  <c r="K87" i="2"/>
  <c r="AA52" i="2"/>
  <c r="F52" i="2" s="1"/>
  <c r="K88" i="2" s="1"/>
  <c r="AF52" i="2"/>
  <c r="G52" i="2" s="1"/>
  <c r="AK52" i="2"/>
  <c r="H52" i="2" s="1"/>
  <c r="V52" i="2"/>
  <c r="E52" i="2" s="1"/>
  <c r="S140" i="2" l="1"/>
  <c r="R140" i="2"/>
  <c r="V139" i="2"/>
  <c r="W139" i="2" s="1"/>
  <c r="X139" i="2" s="1"/>
  <c r="Q141" i="2"/>
  <c r="T140" i="2"/>
  <c r="U140" i="2" s="1"/>
  <c r="F99" i="2"/>
  <c r="G53" i="1" s="1"/>
  <c r="E52" i="1"/>
  <c r="E87" i="2"/>
  <c r="D88" i="2" s="1"/>
  <c r="S141" i="2" l="1"/>
  <c r="R141" i="2"/>
  <c r="E99" i="2"/>
  <c r="F53" i="1" s="1"/>
  <c r="G99" i="2"/>
  <c r="H53" i="1" s="1"/>
  <c r="V140" i="2"/>
  <c r="W140" i="2" s="1"/>
  <c r="X140" i="2" s="1"/>
  <c r="Q142" i="2"/>
  <c r="T141" i="2"/>
  <c r="U141" i="2" s="1"/>
  <c r="G88" i="2"/>
  <c r="H51" i="1" s="1"/>
  <c r="E88" i="2"/>
  <c r="F51" i="1" s="1"/>
  <c r="E50" i="1"/>
  <c r="E51" i="1"/>
  <c r="S142" i="2" l="1"/>
  <c r="R142" i="2"/>
  <c r="V141" i="2"/>
  <c r="W141" i="2" s="1"/>
  <c r="X141" i="2" s="1"/>
  <c r="Q143" i="2"/>
  <c r="T142" i="2"/>
  <c r="U142" i="2" s="1"/>
  <c r="S143" i="2" l="1"/>
  <c r="R143" i="2"/>
  <c r="V142" i="2"/>
  <c r="W142" i="2" s="1"/>
  <c r="X142" i="2" s="1"/>
  <c r="Q144" i="2"/>
  <c r="T143" i="2"/>
  <c r="U143" i="2" s="1"/>
  <c r="S144" i="2" l="1"/>
  <c r="R144" i="2"/>
  <c r="V143" i="2"/>
  <c r="W143" i="2" s="1"/>
  <c r="X143" i="2" s="1"/>
  <c r="Q145" i="2"/>
  <c r="T144" i="2"/>
  <c r="U144" i="2" s="1"/>
  <c r="S145" i="2" l="1"/>
  <c r="R145" i="2"/>
  <c r="V144" i="2"/>
  <c r="W144" i="2" s="1"/>
  <c r="X144" i="2" s="1"/>
  <c r="Q146" i="2"/>
  <c r="T145" i="2"/>
  <c r="U145" i="2" s="1"/>
  <c r="S146" i="2" l="1"/>
  <c r="R146" i="2"/>
  <c r="V145" i="2"/>
  <c r="W145" i="2" s="1"/>
  <c r="X145" i="2" s="1"/>
  <c r="Q147" i="2"/>
  <c r="T146" i="2"/>
  <c r="U146" i="2" s="1"/>
  <c r="S147" i="2" l="1"/>
  <c r="R147" i="2"/>
  <c r="V146" i="2"/>
  <c r="W146" i="2" s="1"/>
  <c r="X146" i="2" s="1"/>
  <c r="Q148" i="2"/>
  <c r="T147" i="2"/>
  <c r="U147" i="2" s="1"/>
  <c r="S148" i="2" l="1"/>
  <c r="R148" i="2"/>
  <c r="V147" i="2"/>
  <c r="W147" i="2" s="1"/>
  <c r="X147" i="2" s="1"/>
  <c r="Q149" i="2"/>
  <c r="T148" i="2"/>
  <c r="U148" i="2" s="1"/>
  <c r="S149" i="2" l="1"/>
  <c r="R149" i="2"/>
  <c r="V148" i="2"/>
  <c r="W148" i="2" s="1"/>
  <c r="X148" i="2" s="1"/>
  <c r="Q150" i="2"/>
  <c r="T149" i="2"/>
  <c r="U149" i="2" s="1"/>
  <c r="V149" i="2" s="1"/>
  <c r="W149" i="2" s="1"/>
  <c r="X149" i="2" s="1"/>
  <c r="S150" i="2" l="1"/>
  <c r="R150" i="2"/>
  <c r="Q151" i="2"/>
  <c r="T150" i="2"/>
  <c r="U150" i="2" s="1"/>
  <c r="V150" i="2" s="1"/>
  <c r="W150" i="2" s="1"/>
  <c r="X150" i="2" s="1"/>
  <c r="S151" i="2" l="1"/>
  <c r="R151" i="2"/>
  <c r="Q152" i="2"/>
  <c r="T151" i="2"/>
  <c r="U151" i="2" s="1"/>
  <c r="S152" i="2" l="1"/>
  <c r="R152" i="2"/>
  <c r="V151" i="2"/>
  <c r="W151" i="2" s="1"/>
  <c r="X151" i="2" s="1"/>
  <c r="Q153" i="2"/>
  <c r="T152" i="2"/>
  <c r="U152" i="2" s="1"/>
  <c r="S153" i="2" l="1"/>
  <c r="R153" i="2"/>
  <c r="V152" i="2"/>
  <c r="W152" i="2" s="1"/>
  <c r="X152" i="2" s="1"/>
  <c r="Q154" i="2"/>
  <c r="T153" i="2"/>
  <c r="U153" i="2" s="1"/>
  <c r="V153" i="2" s="1"/>
  <c r="W153" i="2" s="1"/>
  <c r="X153" i="2" s="1"/>
  <c r="S154" i="2" l="1"/>
  <c r="R154" i="2"/>
  <c r="Q155" i="2"/>
  <c r="T154" i="2"/>
  <c r="U154" i="2" s="1"/>
  <c r="V154" i="2" s="1"/>
  <c r="W154" i="2" s="1"/>
  <c r="X154" i="2" s="1"/>
  <c r="S155" i="2" l="1"/>
  <c r="R155" i="2"/>
  <c r="Q156" i="2"/>
  <c r="T155" i="2"/>
  <c r="U155" i="2" s="1"/>
  <c r="V155" i="2" s="1"/>
  <c r="W155" i="2" s="1"/>
  <c r="X155" i="2" s="1"/>
  <c r="S156" i="2" l="1"/>
  <c r="R156" i="2"/>
  <c r="T156" i="2"/>
  <c r="U156" i="2" s="1"/>
  <c r="Q157" i="2"/>
  <c r="S157" i="2" l="1"/>
  <c r="R157" i="2"/>
  <c r="V156" i="2"/>
  <c r="W156" i="2" s="1"/>
  <c r="X156" i="2" s="1"/>
  <c r="T157" i="2"/>
  <c r="U157" i="2" s="1"/>
  <c r="V157" i="2" s="1"/>
  <c r="W157" i="2" s="1"/>
  <c r="X157" i="2" s="1"/>
  <c r="Q158" i="2"/>
  <c r="S158" i="2" l="1"/>
  <c r="R158" i="2"/>
  <c r="T158" i="2"/>
  <c r="U158" i="2" s="1"/>
  <c r="V158" i="2" l="1"/>
  <c r="W158" i="2" s="1"/>
  <c r="X158" i="2" s="1"/>
  <c r="P158" i="2" l="1"/>
  <c r="P141" i="2"/>
  <c r="P145" i="2"/>
  <c r="P143" i="2"/>
  <c r="P140" i="2"/>
  <c r="P139" i="2"/>
  <c r="P138" i="2"/>
  <c r="P142" i="2"/>
  <c r="P148" i="2"/>
  <c r="P147" i="2"/>
  <c r="P144" i="2"/>
  <c r="P149" i="2"/>
  <c r="P146" i="2"/>
  <c r="P150" i="2"/>
  <c r="P152" i="2"/>
  <c r="P153" i="2"/>
  <c r="P155" i="2"/>
  <c r="P157" i="2"/>
  <c r="P151" i="2"/>
  <c r="P156" i="2"/>
  <c r="P154" i="2"/>
  <c r="Q160" i="2" l="1"/>
  <c r="S133" i="2"/>
  <c r="S134" i="2"/>
  <c r="R160" i="2" l="1"/>
  <c r="S160" i="2"/>
  <c r="S135" i="2"/>
  <c r="Q161" i="2" s="1"/>
  <c r="Q162" i="2" l="1"/>
  <c r="S161" i="2"/>
  <c r="R161" i="2"/>
  <c r="T160" i="2"/>
  <c r="U160" i="2" s="1"/>
  <c r="V160" i="2" s="1"/>
  <c r="W160" i="2" s="1"/>
  <c r="X160" i="2" s="1"/>
  <c r="Q163" i="2"/>
  <c r="S163" i="2" l="1"/>
  <c r="R163" i="2"/>
  <c r="S162" i="2"/>
  <c r="R162" i="2"/>
  <c r="T162" i="2"/>
  <c r="U162" i="2" s="1"/>
  <c r="T161" i="2"/>
  <c r="U161" i="2" s="1"/>
  <c r="V161" i="2" s="1"/>
  <c r="W161" i="2" s="1"/>
  <c r="X161" i="2" s="1"/>
  <c r="V162" i="2"/>
  <c r="W162" i="2" s="1"/>
  <c r="X162" i="2" s="1"/>
  <c r="Q164" i="2"/>
  <c r="S164" i="2" l="1"/>
  <c r="R164" i="2"/>
  <c r="T163" i="2"/>
  <c r="U163" i="2" s="1"/>
  <c r="V163" i="2" s="1"/>
  <c r="W163" i="2" s="1"/>
  <c r="X163" i="2" s="1"/>
  <c r="Q165" i="2"/>
  <c r="S165" i="2" l="1"/>
  <c r="R165" i="2"/>
  <c r="T164" i="2"/>
  <c r="U164" i="2" s="1"/>
  <c r="V164" i="2" s="1"/>
  <c r="W164" i="2" s="1"/>
  <c r="X164" i="2" s="1"/>
  <c r="Q166" i="2"/>
  <c r="S166" i="2" l="1"/>
  <c r="R166" i="2"/>
  <c r="T165" i="2"/>
  <c r="U165" i="2" s="1"/>
  <c r="V165" i="2" s="1"/>
  <c r="W165" i="2" s="1"/>
  <c r="X165" i="2" s="1"/>
  <c r="Q167" i="2"/>
  <c r="S167" i="2" l="1"/>
  <c r="R167" i="2"/>
  <c r="T166" i="2"/>
  <c r="U166" i="2" s="1"/>
  <c r="V166" i="2" s="1"/>
  <c r="W166" i="2" s="1"/>
  <c r="X166" i="2" s="1"/>
  <c r="Q168" i="2"/>
  <c r="S168" i="2" l="1"/>
  <c r="R168" i="2"/>
  <c r="T167" i="2"/>
  <c r="U167" i="2" s="1"/>
  <c r="V167" i="2" s="1"/>
  <c r="W167" i="2" s="1"/>
  <c r="X167" i="2" s="1"/>
  <c r="Q169" i="2"/>
  <c r="S169" i="2" l="1"/>
  <c r="R169" i="2"/>
  <c r="T168" i="2"/>
  <c r="U168" i="2" s="1"/>
  <c r="V168" i="2" s="1"/>
  <c r="W168" i="2" s="1"/>
  <c r="X168" i="2" s="1"/>
  <c r="Q170" i="2"/>
  <c r="S170" i="2" l="1"/>
  <c r="R170" i="2"/>
  <c r="T169" i="2"/>
  <c r="U169" i="2" s="1"/>
  <c r="V169" i="2" s="1"/>
  <c r="W169" i="2" s="1"/>
  <c r="X169" i="2" s="1"/>
  <c r="Q171" i="2"/>
  <c r="S171" i="2" l="1"/>
  <c r="R171" i="2"/>
  <c r="T170" i="2"/>
  <c r="U170" i="2" s="1"/>
  <c r="V170" i="2" s="1"/>
  <c r="W170" i="2" s="1"/>
  <c r="X170" i="2" s="1"/>
  <c r="Q172" i="2"/>
  <c r="S172" i="2" l="1"/>
  <c r="R172" i="2"/>
  <c r="T171" i="2"/>
  <c r="U171" i="2" s="1"/>
  <c r="V171" i="2" s="1"/>
  <c r="W171" i="2" s="1"/>
  <c r="X171" i="2" s="1"/>
  <c r="Q173" i="2"/>
  <c r="S173" i="2" l="1"/>
  <c r="R173" i="2"/>
  <c r="T172" i="2"/>
  <c r="U172" i="2" s="1"/>
  <c r="V172" i="2" s="1"/>
  <c r="W172" i="2" s="1"/>
  <c r="X172" i="2" s="1"/>
  <c r="Q174" i="2"/>
  <c r="S174" i="2" l="1"/>
  <c r="R174" i="2"/>
  <c r="T173" i="2"/>
  <c r="U173" i="2" s="1"/>
  <c r="V173" i="2" s="1"/>
  <c r="W173" i="2" s="1"/>
  <c r="X173" i="2" s="1"/>
  <c r="Q175" i="2"/>
  <c r="S175" i="2" l="1"/>
  <c r="R175" i="2"/>
  <c r="T174" i="2"/>
  <c r="U174" i="2" s="1"/>
  <c r="V174" i="2" s="1"/>
  <c r="W174" i="2" s="1"/>
  <c r="X174" i="2" s="1"/>
  <c r="Q176" i="2"/>
  <c r="S176" i="2" l="1"/>
  <c r="R176" i="2"/>
  <c r="T175" i="2"/>
  <c r="U175" i="2" s="1"/>
  <c r="V175" i="2" s="1"/>
  <c r="W175" i="2" s="1"/>
  <c r="X175" i="2" s="1"/>
  <c r="Q177" i="2"/>
  <c r="S177" i="2" l="1"/>
  <c r="R177" i="2"/>
  <c r="T176" i="2"/>
  <c r="U176" i="2" s="1"/>
  <c r="V176" i="2" s="1"/>
  <c r="W176" i="2" s="1"/>
  <c r="X176" i="2" s="1"/>
  <c r="Q178" i="2"/>
  <c r="S178" i="2" l="1"/>
  <c r="R178" i="2"/>
  <c r="T177" i="2"/>
  <c r="U177" i="2" s="1"/>
  <c r="V177" i="2" s="1"/>
  <c r="W177" i="2" s="1"/>
  <c r="X177" i="2" s="1"/>
  <c r="Q179" i="2"/>
  <c r="S179" i="2" l="1"/>
  <c r="R179" i="2"/>
  <c r="T178" i="2"/>
  <c r="U178" i="2" s="1"/>
  <c r="V178" i="2" s="1"/>
  <c r="W178" i="2" s="1"/>
  <c r="X178" i="2" s="1"/>
  <c r="Q180" i="2"/>
  <c r="S180" i="2" l="1"/>
  <c r="R180" i="2"/>
  <c r="T179" i="2"/>
  <c r="U179" i="2" s="1"/>
  <c r="V179" i="2" s="1"/>
  <c r="W179" i="2" s="1"/>
  <c r="X179" i="2" s="1"/>
  <c r="T180" i="2" l="1"/>
  <c r="U180" i="2" s="1"/>
  <c r="V180" i="2" s="1"/>
  <c r="W180" i="2" s="1"/>
  <c r="X180" i="2" s="1"/>
  <c r="P179" i="2" s="1"/>
  <c r="P163" i="2"/>
  <c r="P166" i="2"/>
  <c r="P165" i="2"/>
  <c r="P167" i="2"/>
  <c r="P168" i="2"/>
  <c r="P169" i="2"/>
  <c r="P170" i="2"/>
  <c r="P171" i="2"/>
  <c r="P175" i="2"/>
  <c r="P173" i="2"/>
  <c r="P174" i="2"/>
  <c r="P172" i="2"/>
  <c r="P178" i="2"/>
  <c r="P177" i="2"/>
  <c r="P176" i="2"/>
  <c r="P162" i="2" l="1"/>
  <c r="P164" i="2"/>
  <c r="P160" i="2"/>
  <c r="P161" i="2"/>
  <c r="P180" i="2"/>
  <c r="Q182" i="2"/>
  <c r="T133" i="2"/>
  <c r="T134" i="2"/>
  <c r="S182" i="2" l="1"/>
  <c r="R182" i="2"/>
  <c r="T135" i="2"/>
  <c r="Q183" i="2" s="1"/>
  <c r="S183" i="2" l="1"/>
  <c r="R183" i="2"/>
  <c r="T182" i="2"/>
  <c r="U182" i="2" s="1"/>
  <c r="V182" i="2" s="1"/>
  <c r="W182" i="2" s="1"/>
  <c r="X182" i="2" s="1"/>
  <c r="Q184" i="2"/>
  <c r="Q185" i="2" l="1"/>
  <c r="S184" i="2"/>
  <c r="R184" i="2"/>
  <c r="T183" i="2"/>
  <c r="U183" i="2" s="1"/>
  <c r="V183" i="2" s="1"/>
  <c r="W183" i="2" s="1"/>
  <c r="X183" i="2" s="1"/>
  <c r="Q186" i="2"/>
  <c r="S186" i="2" l="1"/>
  <c r="R186" i="2"/>
  <c r="S185" i="2"/>
  <c r="R185" i="2"/>
  <c r="T185" i="2"/>
  <c r="U185" i="2" s="1"/>
  <c r="T184" i="2"/>
  <c r="U184" i="2" s="1"/>
  <c r="V184" i="2" s="1"/>
  <c r="W184" i="2" s="1"/>
  <c r="X184" i="2" s="1"/>
  <c r="V185" i="2"/>
  <c r="W185" i="2" s="1"/>
  <c r="X185" i="2" s="1"/>
  <c r="Q187" i="2"/>
  <c r="S187" i="2" l="1"/>
  <c r="R187" i="2"/>
  <c r="T186" i="2"/>
  <c r="U186" i="2" s="1"/>
  <c r="V186" i="2" s="1"/>
  <c r="W186" i="2" s="1"/>
  <c r="X186" i="2" s="1"/>
  <c r="Q188" i="2"/>
  <c r="S188" i="2" l="1"/>
  <c r="R188" i="2"/>
  <c r="T187" i="2"/>
  <c r="U187" i="2" s="1"/>
  <c r="V187" i="2" s="1"/>
  <c r="W187" i="2" s="1"/>
  <c r="X187" i="2" s="1"/>
  <c r="Q189" i="2"/>
  <c r="S189" i="2" l="1"/>
  <c r="R189" i="2"/>
  <c r="T188" i="2"/>
  <c r="U188" i="2" s="1"/>
  <c r="V188" i="2" s="1"/>
  <c r="W188" i="2" s="1"/>
  <c r="X188" i="2" s="1"/>
  <c r="Q190" i="2"/>
  <c r="S190" i="2" l="1"/>
  <c r="R190" i="2"/>
  <c r="T189" i="2"/>
  <c r="U189" i="2" s="1"/>
  <c r="V189" i="2" s="1"/>
  <c r="W189" i="2" s="1"/>
  <c r="X189" i="2" s="1"/>
  <c r="Q191" i="2"/>
  <c r="S191" i="2" l="1"/>
  <c r="R191" i="2"/>
  <c r="T190" i="2"/>
  <c r="U190" i="2" s="1"/>
  <c r="V190" i="2" s="1"/>
  <c r="W190" i="2" s="1"/>
  <c r="X190" i="2" s="1"/>
  <c r="Q192" i="2"/>
  <c r="S192" i="2" l="1"/>
  <c r="R192" i="2"/>
  <c r="T191" i="2"/>
  <c r="U191" i="2" s="1"/>
  <c r="V191" i="2" s="1"/>
  <c r="W191" i="2" s="1"/>
  <c r="X191" i="2" s="1"/>
  <c r="Q193" i="2"/>
  <c r="S193" i="2" l="1"/>
  <c r="R193" i="2"/>
  <c r="T192" i="2"/>
  <c r="U192" i="2" s="1"/>
  <c r="V192" i="2" s="1"/>
  <c r="W192" i="2" s="1"/>
  <c r="X192" i="2" s="1"/>
  <c r="Q194" i="2"/>
  <c r="S194" i="2" l="1"/>
  <c r="R194" i="2"/>
  <c r="T193" i="2"/>
  <c r="U193" i="2" s="1"/>
  <c r="V193" i="2" s="1"/>
  <c r="W193" i="2" s="1"/>
  <c r="X193" i="2" s="1"/>
  <c r="Q195" i="2"/>
  <c r="S195" i="2" l="1"/>
  <c r="R195" i="2"/>
  <c r="T194" i="2"/>
  <c r="U194" i="2" s="1"/>
  <c r="V194" i="2" s="1"/>
  <c r="W194" i="2" s="1"/>
  <c r="X194" i="2" s="1"/>
  <c r="Q196" i="2"/>
  <c r="S196" i="2" l="1"/>
  <c r="R196" i="2"/>
  <c r="T195" i="2"/>
  <c r="U195" i="2" s="1"/>
  <c r="V195" i="2" s="1"/>
  <c r="W195" i="2" s="1"/>
  <c r="X195" i="2" s="1"/>
  <c r="Q197" i="2"/>
  <c r="S197" i="2" l="1"/>
  <c r="R197" i="2"/>
  <c r="T196" i="2"/>
  <c r="U196" i="2" s="1"/>
  <c r="V196" i="2" s="1"/>
  <c r="W196" i="2" s="1"/>
  <c r="X196" i="2" s="1"/>
  <c r="Q198" i="2"/>
  <c r="S198" i="2" l="1"/>
  <c r="R198" i="2"/>
  <c r="T197" i="2"/>
  <c r="U197" i="2" s="1"/>
  <c r="V197" i="2" s="1"/>
  <c r="W197" i="2" s="1"/>
  <c r="X197" i="2" s="1"/>
  <c r="Q199" i="2"/>
  <c r="S199" i="2" l="1"/>
  <c r="R199" i="2"/>
  <c r="T198" i="2"/>
  <c r="U198" i="2" s="1"/>
  <c r="V198" i="2" s="1"/>
  <c r="W198" i="2" s="1"/>
  <c r="X198" i="2" s="1"/>
  <c r="Q200" i="2"/>
  <c r="S200" i="2" l="1"/>
  <c r="R200" i="2"/>
  <c r="T199" i="2"/>
  <c r="U199" i="2" s="1"/>
  <c r="V199" i="2" s="1"/>
  <c r="W199" i="2" s="1"/>
  <c r="X199" i="2" s="1"/>
  <c r="Q201" i="2"/>
  <c r="S201" i="2" l="1"/>
  <c r="R201" i="2"/>
  <c r="T200" i="2"/>
  <c r="U200" i="2" s="1"/>
  <c r="V200" i="2" s="1"/>
  <c r="W200" i="2" s="1"/>
  <c r="X200" i="2" s="1"/>
  <c r="Q202" i="2"/>
  <c r="S202" i="2" l="1"/>
  <c r="R202" i="2"/>
  <c r="T201" i="2"/>
  <c r="U201" i="2" s="1"/>
  <c r="V201" i="2" s="1"/>
  <c r="W201" i="2" s="1"/>
  <c r="X201" i="2" s="1"/>
  <c r="T202" i="2" l="1"/>
  <c r="U202" i="2" s="1"/>
  <c r="V202" i="2" s="1"/>
  <c r="W202" i="2" s="1"/>
  <c r="X202" i="2" s="1"/>
  <c r="P200" i="2" s="1"/>
  <c r="P189" i="2"/>
  <c r="P188" i="2"/>
  <c r="P192" i="2"/>
  <c r="P191" i="2"/>
  <c r="P193" i="2"/>
  <c r="P194" i="2"/>
  <c r="P195" i="2"/>
  <c r="P196" i="2"/>
  <c r="P197" i="2"/>
  <c r="P199" i="2"/>
  <c r="P190" i="2" l="1"/>
  <c r="P186" i="2"/>
  <c r="P185" i="2"/>
  <c r="P187" i="2"/>
  <c r="P184" i="2"/>
  <c r="P183" i="2"/>
  <c r="P182" i="2"/>
  <c r="P201" i="2"/>
  <c r="P198" i="2"/>
  <c r="P202" i="2"/>
  <c r="X133" i="2" l="1"/>
  <c r="D19" i="1" s="1"/>
  <c r="F19" i="1" s="1"/>
  <c r="D19" i="2" l="1"/>
  <c r="E166" i="2" s="1"/>
  <c r="E167" i="2" s="1"/>
  <c r="E168" i="2"/>
  <c r="E174" i="2" s="1"/>
  <c r="E185" i="2" l="1"/>
  <c r="E176" i="2"/>
  <c r="E178" i="2" s="1"/>
  <c r="E179" i="2" s="1"/>
  <c r="B180" i="2" l="1"/>
  <c r="E20" i="1" s="1"/>
  <c r="D20" i="1"/>
  <c r="E192" i="2"/>
  <c r="G194" i="2" s="1"/>
  <c r="G57" i="1" s="1"/>
  <c r="E191" i="2"/>
  <c r="E194" i="2" s="1"/>
  <c r="E186" i="2"/>
  <c r="E57" i="1" l="1"/>
  <c r="F194" i="2"/>
  <c r="F57" i="1" s="1"/>
  <c r="H194" i="2"/>
  <c r="I57" i="1" s="1"/>
  <c r="E55" i="1"/>
  <c r="G188" i="2"/>
  <c r="H56" i="1" l="1"/>
  <c r="F188" i="2"/>
  <c r="F56" i="1" s="1"/>
  <c r="H188" i="2"/>
  <c r="I56" i="1" s="1"/>
</calcChain>
</file>

<file path=xl/comments1.xml><?xml version="1.0" encoding="utf-8"?>
<comments xmlns="http://schemas.openxmlformats.org/spreadsheetml/2006/main">
  <authors>
    <author>sangyo</author>
  </authors>
  <commentList>
    <comment ref="D23" authorId="0">
      <text>
        <r>
          <rPr>
            <b/>
            <sz val="9"/>
            <color indexed="81"/>
            <rFont val="ＭＳ Ｐゴシック"/>
            <family val="3"/>
            <charset val="128"/>
          </rPr>
          <t>径と肉厚の例
60.5×2.3
60.5×2.8
76.3×2.8
76.3×3.2
89.1×3.2
89.1×4.2</t>
        </r>
      </text>
    </comment>
    <comment ref="D27" authorId="0">
      <text>
        <r>
          <rPr>
            <b/>
            <sz val="9"/>
            <color indexed="81"/>
            <rFont val="ＭＳ Ｐゴシック"/>
            <family val="3"/>
            <charset val="128"/>
          </rPr>
          <t>路側式：40m/sec</t>
        </r>
      </text>
    </comment>
  </commentList>
</comments>
</file>

<file path=xl/comments2.xml><?xml version="1.0" encoding="utf-8"?>
<comments xmlns="http://schemas.openxmlformats.org/spreadsheetml/2006/main">
  <authors>
    <author>sangyo</author>
  </authors>
  <commentList>
    <comment ref="R134" authorId="0">
      <text>
        <r>
          <rPr>
            <b/>
            <sz val="9"/>
            <color indexed="81"/>
            <rFont val="ＭＳ Ｐゴシック"/>
            <family val="3"/>
            <charset val="128"/>
          </rPr>
          <t>π/2（rad)
90°を上限としている</t>
        </r>
      </text>
    </comment>
  </commentList>
</comments>
</file>

<file path=xl/sharedStrings.xml><?xml version="1.0" encoding="utf-8"?>
<sst xmlns="http://schemas.openxmlformats.org/spreadsheetml/2006/main" count="321" uniqueCount="270">
  <si>
    <t>道路標識設置基準・同解説（日本道路協会：昭和62年1月）</t>
    <rPh sb="0" eb="4">
      <t>ドウロヒョウシキ</t>
    </rPh>
    <rPh sb="4" eb="6">
      <t>セッチ</t>
    </rPh>
    <rPh sb="6" eb="8">
      <t>キジュン</t>
    </rPh>
    <rPh sb="9" eb="10">
      <t>ドウ</t>
    </rPh>
    <rPh sb="10" eb="12">
      <t>カイセツ</t>
    </rPh>
    <rPh sb="13" eb="15">
      <t>ニホン</t>
    </rPh>
    <rPh sb="15" eb="17">
      <t>ドウロ</t>
    </rPh>
    <rPh sb="17" eb="19">
      <t>キョウカイ</t>
    </rPh>
    <phoneticPr fontId="2"/>
  </si>
  <si>
    <t>道路標識設置要領・標準図集（建設省四国地方整備局：平成10年3月）</t>
    <rPh sb="0" eb="4">
      <t>ドウロヒョウシキ</t>
    </rPh>
    <rPh sb="4" eb="6">
      <t>セッチ</t>
    </rPh>
    <rPh sb="6" eb="8">
      <t>ヨウリョウ</t>
    </rPh>
    <rPh sb="9" eb="11">
      <t>ヒョウジュン</t>
    </rPh>
    <rPh sb="11" eb="12">
      <t>ズ</t>
    </rPh>
    <rPh sb="12" eb="13">
      <t>シュウ</t>
    </rPh>
    <rPh sb="14" eb="17">
      <t>ケンセツショウ</t>
    </rPh>
    <rPh sb="17" eb="19">
      <t>シコク</t>
    </rPh>
    <rPh sb="19" eb="21">
      <t>チホウ</t>
    </rPh>
    <rPh sb="21" eb="24">
      <t>セイビキョク</t>
    </rPh>
    <rPh sb="25" eb="27">
      <t>ヘイセイ</t>
    </rPh>
    <rPh sb="29" eb="30">
      <t>ネン</t>
    </rPh>
    <rPh sb="31" eb="32">
      <t>ガツ</t>
    </rPh>
    <phoneticPr fontId="2"/>
  </si>
  <si>
    <t>道路標識ハンドブック（全国道路標識・表示業協会：2012年度）</t>
    <rPh sb="0" eb="4">
      <t>ドウロヒョウシキ</t>
    </rPh>
    <rPh sb="11" eb="13">
      <t>ゼンコク</t>
    </rPh>
    <rPh sb="13" eb="17">
      <t>ドウロヒョウシキ</t>
    </rPh>
    <rPh sb="18" eb="20">
      <t>ヒョウジ</t>
    </rPh>
    <rPh sb="20" eb="21">
      <t>ギョウ</t>
    </rPh>
    <rPh sb="21" eb="23">
      <t>キョウカイ</t>
    </rPh>
    <rPh sb="28" eb="30">
      <t>ネンド</t>
    </rPh>
    <phoneticPr fontId="2"/>
  </si>
  <si>
    <t>１．設計条件</t>
    <rPh sb="2" eb="4">
      <t>セッケイ</t>
    </rPh>
    <rPh sb="4" eb="6">
      <t>ジョウケン</t>
    </rPh>
    <phoneticPr fontId="2"/>
  </si>
  <si>
    <t>（ア）寸法</t>
    <rPh sb="3" eb="5">
      <t>スンポウ</t>
    </rPh>
    <phoneticPr fontId="2"/>
  </si>
  <si>
    <t>m</t>
    <phoneticPr fontId="2"/>
  </si>
  <si>
    <t>設置高（路面から）</t>
    <rPh sb="0" eb="2">
      <t>セッチ</t>
    </rPh>
    <rPh sb="2" eb="3">
      <t>タカ</t>
    </rPh>
    <rPh sb="4" eb="6">
      <t>ロメン</t>
    </rPh>
    <phoneticPr fontId="2"/>
  </si>
  <si>
    <t>基礎</t>
    <rPh sb="0" eb="2">
      <t>キソ</t>
    </rPh>
    <phoneticPr fontId="2"/>
  </si>
  <si>
    <t>基礎前面幅</t>
    <rPh sb="0" eb="2">
      <t>キソ</t>
    </rPh>
    <rPh sb="2" eb="4">
      <t>ゼンメン</t>
    </rPh>
    <rPh sb="4" eb="5">
      <t>ハバ</t>
    </rPh>
    <phoneticPr fontId="2"/>
  </si>
  <si>
    <t>m</t>
    <phoneticPr fontId="2"/>
  </si>
  <si>
    <t>基礎深さ</t>
    <rPh sb="0" eb="2">
      <t>キソ</t>
    </rPh>
    <rPh sb="2" eb="3">
      <t>フカ</t>
    </rPh>
    <phoneticPr fontId="2"/>
  </si>
  <si>
    <t>Dk</t>
    <phoneticPr fontId="2"/>
  </si>
  <si>
    <t>基礎側面幅</t>
    <rPh sb="0" eb="2">
      <t>キソ</t>
    </rPh>
    <rPh sb="2" eb="4">
      <t>ソクメン</t>
    </rPh>
    <rPh sb="4" eb="5">
      <t>ハバ</t>
    </rPh>
    <phoneticPr fontId="2"/>
  </si>
  <si>
    <t>（イ）使用部材</t>
    <rPh sb="3" eb="5">
      <t>シヨウ</t>
    </rPh>
    <rPh sb="5" eb="7">
      <t>ブザイ</t>
    </rPh>
    <phoneticPr fontId="2"/>
  </si>
  <si>
    <t>mm</t>
    <phoneticPr fontId="2"/>
  </si>
  <si>
    <t>柱主材(STK)</t>
    <rPh sb="0" eb="1">
      <t>ハシラ</t>
    </rPh>
    <rPh sb="1" eb="3">
      <t>シュザイ</t>
    </rPh>
    <phoneticPr fontId="2"/>
  </si>
  <si>
    <t>ボルト呼び</t>
    <rPh sb="3" eb="4">
      <t>ヨ</t>
    </rPh>
    <phoneticPr fontId="2"/>
  </si>
  <si>
    <t>（オ）荷重条件</t>
    <rPh sb="3" eb="5">
      <t>カジュウ</t>
    </rPh>
    <rPh sb="5" eb="7">
      <t>ジョウケン</t>
    </rPh>
    <phoneticPr fontId="2"/>
  </si>
  <si>
    <t>設計風速</t>
    <rPh sb="0" eb="2">
      <t>セッケイ</t>
    </rPh>
    <rPh sb="2" eb="4">
      <t>フウソク</t>
    </rPh>
    <phoneticPr fontId="2"/>
  </si>
  <si>
    <t>m/s</t>
    <phoneticPr fontId="2"/>
  </si>
  <si>
    <t>風力係数 Cd</t>
    <rPh sb="0" eb="2">
      <t>フウリョク</t>
    </rPh>
    <rPh sb="2" eb="4">
      <t>ケイスウ</t>
    </rPh>
    <phoneticPr fontId="2"/>
  </si>
  <si>
    <t>標識板</t>
    <rPh sb="0" eb="3">
      <t>ヒョウシキバン</t>
    </rPh>
    <phoneticPr fontId="2"/>
  </si>
  <si>
    <t>支柱類</t>
    <rPh sb="0" eb="2">
      <t>シチュウ</t>
    </rPh>
    <rPh sb="2" eb="3">
      <t>ルイ</t>
    </rPh>
    <phoneticPr fontId="2"/>
  </si>
  <si>
    <t>（カ）基礎条件等</t>
    <rPh sb="3" eb="5">
      <t>キソ</t>
    </rPh>
    <rPh sb="5" eb="7">
      <t>ジョウケン</t>
    </rPh>
    <rPh sb="7" eb="8">
      <t>トウ</t>
    </rPh>
    <phoneticPr fontId="2"/>
  </si>
  <si>
    <t>コンクリート単位重量</t>
    <rPh sb="6" eb="8">
      <t>タンイ</t>
    </rPh>
    <rPh sb="8" eb="10">
      <t>ジュウリョウ</t>
    </rPh>
    <phoneticPr fontId="2"/>
  </si>
  <si>
    <t>γc</t>
    <phoneticPr fontId="2"/>
  </si>
  <si>
    <t>kN/m3</t>
    <phoneticPr fontId="2"/>
  </si>
  <si>
    <t>土の単位重量</t>
    <rPh sb="0" eb="1">
      <t>ツチ</t>
    </rPh>
    <rPh sb="2" eb="4">
      <t>タンイ</t>
    </rPh>
    <rPh sb="4" eb="6">
      <t>ジュウリョウ</t>
    </rPh>
    <phoneticPr fontId="2"/>
  </si>
  <si>
    <t>γ</t>
    <phoneticPr fontId="2"/>
  </si>
  <si>
    <t>N値</t>
    <rPh sb="1" eb="2">
      <t>チ</t>
    </rPh>
    <phoneticPr fontId="2"/>
  </si>
  <si>
    <t>受働土圧係数</t>
    <rPh sb="0" eb="2">
      <t>ジュドウ</t>
    </rPh>
    <rPh sb="2" eb="4">
      <t>ドアツ</t>
    </rPh>
    <rPh sb="4" eb="6">
      <t>ケイスウ</t>
    </rPh>
    <phoneticPr fontId="2"/>
  </si>
  <si>
    <t>Kp</t>
    <phoneticPr fontId="2"/>
  </si>
  <si>
    <t>地盤反力短期</t>
    <rPh sb="0" eb="2">
      <t>ジバン</t>
    </rPh>
    <rPh sb="2" eb="4">
      <t>ハンリョク</t>
    </rPh>
    <rPh sb="4" eb="6">
      <t>タンキ</t>
    </rPh>
    <phoneticPr fontId="2"/>
  </si>
  <si>
    <t>kN/㎡</t>
    <phoneticPr fontId="2"/>
  </si>
  <si>
    <t>（キ）材料の許容応力度</t>
    <rPh sb="3" eb="5">
      <t>ザイリョウ</t>
    </rPh>
    <rPh sb="6" eb="8">
      <t>キョヨウ</t>
    </rPh>
    <rPh sb="8" eb="11">
      <t>オウリョクド</t>
    </rPh>
    <phoneticPr fontId="2"/>
  </si>
  <si>
    <t>鋼材(SS400,STK400)</t>
    <rPh sb="0" eb="2">
      <t>コウザイ</t>
    </rPh>
    <phoneticPr fontId="2"/>
  </si>
  <si>
    <t>長期</t>
    <rPh sb="0" eb="2">
      <t>チョウキ</t>
    </rPh>
    <phoneticPr fontId="2"/>
  </si>
  <si>
    <t>短期</t>
    <rPh sb="0" eb="2">
      <t>タンキ</t>
    </rPh>
    <phoneticPr fontId="2"/>
  </si>
  <si>
    <t>　引張応力度</t>
    <rPh sb="1" eb="3">
      <t>ヒッパリ</t>
    </rPh>
    <rPh sb="3" eb="6">
      <t>オウリョクド</t>
    </rPh>
    <phoneticPr fontId="2"/>
  </si>
  <si>
    <t>長期×1.5</t>
    <rPh sb="0" eb="2">
      <t>チョウキ</t>
    </rPh>
    <phoneticPr fontId="2"/>
  </si>
  <si>
    <t>N/mm2</t>
    <phoneticPr fontId="2"/>
  </si>
  <si>
    <t>　圧縮応力度</t>
    <rPh sb="1" eb="3">
      <t>アッシュク</t>
    </rPh>
    <rPh sb="3" eb="6">
      <t>オウリョクド</t>
    </rPh>
    <phoneticPr fontId="2"/>
  </si>
  <si>
    <t>〃</t>
    <phoneticPr fontId="2"/>
  </si>
  <si>
    <t>　曲げ応力度</t>
    <rPh sb="1" eb="2">
      <t>マ</t>
    </rPh>
    <rPh sb="3" eb="6">
      <t>オウリョクド</t>
    </rPh>
    <phoneticPr fontId="2"/>
  </si>
  <si>
    <t xml:space="preserve"> 面外許容曲げ応力度</t>
    <rPh sb="1" eb="2">
      <t>メン</t>
    </rPh>
    <rPh sb="2" eb="3">
      <t>ガイ</t>
    </rPh>
    <rPh sb="3" eb="5">
      <t>キョヨウ</t>
    </rPh>
    <rPh sb="5" eb="6">
      <t>マ</t>
    </rPh>
    <rPh sb="7" eb="10">
      <t>オウリョクド</t>
    </rPh>
    <phoneticPr fontId="2"/>
  </si>
  <si>
    <t>　せん断応力度</t>
    <rPh sb="3" eb="4">
      <t>ダン</t>
    </rPh>
    <rPh sb="4" eb="7">
      <t>オウリョクド</t>
    </rPh>
    <phoneticPr fontId="2"/>
  </si>
  <si>
    <t>m</t>
    <phoneticPr fontId="2"/>
  </si>
  <si>
    <t>Bh</t>
    <phoneticPr fontId="2"/>
  </si>
  <si>
    <t>Hh</t>
    <phoneticPr fontId="2"/>
  </si>
  <si>
    <t>h</t>
    <phoneticPr fontId="2"/>
  </si>
  <si>
    <t>２．柱の計算</t>
    <rPh sb="2" eb="3">
      <t>ハシラ</t>
    </rPh>
    <rPh sb="4" eb="6">
      <t>ケイサン</t>
    </rPh>
    <phoneticPr fontId="2"/>
  </si>
  <si>
    <t>ア）荷重の算出</t>
    <rPh sb="2" eb="4">
      <t>カジュウ</t>
    </rPh>
    <rPh sb="5" eb="7">
      <t>サンシュツ</t>
    </rPh>
    <phoneticPr fontId="2"/>
  </si>
  <si>
    <t>①固定荷重</t>
    <rPh sb="1" eb="3">
      <t>コテイ</t>
    </rPh>
    <rPh sb="3" eb="5">
      <t>カジュウ</t>
    </rPh>
    <phoneticPr fontId="2"/>
  </si>
  <si>
    <t>自重は主荷重である風荷重に比べ十分に小さいため無視する。</t>
    <rPh sb="0" eb="2">
      <t>ジジュウ</t>
    </rPh>
    <rPh sb="3" eb="4">
      <t>シュ</t>
    </rPh>
    <rPh sb="4" eb="6">
      <t>カジュウ</t>
    </rPh>
    <rPh sb="9" eb="10">
      <t>カゼ</t>
    </rPh>
    <rPh sb="10" eb="12">
      <t>カジュウ</t>
    </rPh>
    <rPh sb="13" eb="14">
      <t>クラ</t>
    </rPh>
    <rPh sb="15" eb="17">
      <t>ジュウブン</t>
    </rPh>
    <rPh sb="18" eb="19">
      <t>チイ</t>
    </rPh>
    <rPh sb="23" eb="25">
      <t>ムシ</t>
    </rPh>
    <phoneticPr fontId="2"/>
  </si>
  <si>
    <t>②風荷重</t>
    <rPh sb="1" eb="2">
      <t>カゼ</t>
    </rPh>
    <rPh sb="2" eb="4">
      <t>カジュウ</t>
    </rPh>
    <phoneticPr fontId="2"/>
  </si>
  <si>
    <t>２．部材諸元および作用荷重</t>
    <rPh sb="2" eb="4">
      <t>ブザイ</t>
    </rPh>
    <rPh sb="4" eb="6">
      <t>ショゲン</t>
    </rPh>
    <rPh sb="9" eb="11">
      <t>サヨウ</t>
    </rPh>
    <rPh sb="11" eb="13">
      <t>カジュウ</t>
    </rPh>
    <phoneticPr fontId="2"/>
  </si>
  <si>
    <t>ア）使用部材諸元</t>
    <rPh sb="2" eb="4">
      <t>シヨウ</t>
    </rPh>
    <rPh sb="4" eb="6">
      <t>ブザイ</t>
    </rPh>
    <rPh sb="6" eb="8">
      <t>ショゲン</t>
    </rPh>
    <phoneticPr fontId="2"/>
  </si>
  <si>
    <t>重量</t>
    <rPh sb="0" eb="2">
      <t>ジュウリョウ</t>
    </rPh>
    <phoneticPr fontId="2"/>
  </si>
  <si>
    <t>断面積</t>
    <rPh sb="0" eb="3">
      <t>ダンメンセキ</t>
    </rPh>
    <phoneticPr fontId="2"/>
  </si>
  <si>
    <t>断面性能</t>
    <rPh sb="0" eb="2">
      <t>ダンメン</t>
    </rPh>
    <rPh sb="2" eb="4">
      <t>セイノウ</t>
    </rPh>
    <phoneticPr fontId="2"/>
  </si>
  <si>
    <t>規格</t>
    <rPh sb="0" eb="2">
      <t>キカク</t>
    </rPh>
    <phoneticPr fontId="2"/>
  </si>
  <si>
    <t>w(N/m)</t>
    <phoneticPr fontId="2"/>
  </si>
  <si>
    <t>A(cm2)</t>
    <phoneticPr fontId="2"/>
  </si>
  <si>
    <t>I（cm4)</t>
    <phoneticPr fontId="2"/>
  </si>
  <si>
    <t>Z(cm3)</t>
    <phoneticPr fontId="2"/>
  </si>
  <si>
    <t>i(cm)</t>
    <phoneticPr fontId="2"/>
  </si>
  <si>
    <t>Ip(cm4)</t>
    <phoneticPr fontId="2"/>
  </si>
  <si>
    <t>d2(cm)</t>
    <phoneticPr fontId="2"/>
  </si>
  <si>
    <t>d1(cm)</t>
    <phoneticPr fontId="2"/>
  </si>
  <si>
    <t>I（cm4)</t>
    <phoneticPr fontId="2"/>
  </si>
  <si>
    <t>Z(cm3)</t>
    <phoneticPr fontId="2"/>
  </si>
  <si>
    <t>i(cm)</t>
    <phoneticPr fontId="2"/>
  </si>
  <si>
    <t>Ip(cm4)</t>
    <phoneticPr fontId="2"/>
  </si>
  <si>
    <t>I</t>
    <phoneticPr fontId="2"/>
  </si>
  <si>
    <t>Z</t>
    <phoneticPr fontId="2"/>
  </si>
  <si>
    <t>i</t>
    <phoneticPr fontId="2"/>
  </si>
  <si>
    <t>Ip</t>
    <phoneticPr fontId="2"/>
  </si>
  <si>
    <t>梁材</t>
    <rPh sb="0" eb="1">
      <t>ハリ</t>
    </rPh>
    <rPh sb="1" eb="2">
      <t>ザイ</t>
    </rPh>
    <phoneticPr fontId="2"/>
  </si>
  <si>
    <t>支柱</t>
    <rPh sb="0" eb="2">
      <t>シチュウ</t>
    </rPh>
    <phoneticPr fontId="2"/>
  </si>
  <si>
    <t>※断面性能は有効数字３桁</t>
    <rPh sb="1" eb="3">
      <t>ダンメン</t>
    </rPh>
    <rPh sb="3" eb="5">
      <t>セイノウ</t>
    </rPh>
    <rPh sb="6" eb="8">
      <t>ユウコウ</t>
    </rPh>
    <rPh sb="8" eb="10">
      <t>スウジ</t>
    </rPh>
    <rPh sb="11" eb="12">
      <t>ケタ</t>
    </rPh>
    <phoneticPr fontId="2"/>
  </si>
  <si>
    <t>有効断面積（mm2)</t>
    <rPh sb="0" eb="2">
      <t>ユウコウ</t>
    </rPh>
    <rPh sb="2" eb="5">
      <t>ダンメンセキ</t>
    </rPh>
    <phoneticPr fontId="2"/>
  </si>
  <si>
    <t>ボルト径</t>
    <rPh sb="3" eb="4">
      <t>ケイ</t>
    </rPh>
    <phoneticPr fontId="2"/>
  </si>
  <si>
    <t>鋼材の単位重量</t>
    <rPh sb="0" eb="2">
      <t>コウザイ</t>
    </rPh>
    <rPh sb="3" eb="5">
      <t>タンイ</t>
    </rPh>
    <rPh sb="5" eb="7">
      <t>ジュウリョウ</t>
    </rPh>
    <phoneticPr fontId="2"/>
  </si>
  <si>
    <t>空気密度</t>
    <rPh sb="0" eb="2">
      <t>クウキ</t>
    </rPh>
    <rPh sb="2" eb="4">
      <t>ミツド</t>
    </rPh>
    <phoneticPr fontId="2"/>
  </si>
  <si>
    <t>M6</t>
    <phoneticPr fontId="2"/>
  </si>
  <si>
    <t>ρ</t>
    <phoneticPr fontId="2"/>
  </si>
  <si>
    <t>N･s^2/m4</t>
    <phoneticPr fontId="2"/>
  </si>
  <si>
    <t>M8</t>
    <phoneticPr fontId="2"/>
  </si>
  <si>
    <t>N/cm3</t>
    <phoneticPr fontId="2"/>
  </si>
  <si>
    <t>M10</t>
    <phoneticPr fontId="2"/>
  </si>
  <si>
    <t>M12</t>
    <phoneticPr fontId="2"/>
  </si>
  <si>
    <t>M14</t>
    <phoneticPr fontId="2"/>
  </si>
  <si>
    <t>M16</t>
    <phoneticPr fontId="2"/>
  </si>
  <si>
    <t>M20</t>
    <phoneticPr fontId="2"/>
  </si>
  <si>
    <t>M22</t>
    <phoneticPr fontId="2"/>
  </si>
  <si>
    <t>M24</t>
    <phoneticPr fontId="2"/>
  </si>
  <si>
    <t>M27</t>
    <phoneticPr fontId="2"/>
  </si>
  <si>
    <t>M30</t>
    <phoneticPr fontId="2"/>
  </si>
  <si>
    <t>M36</t>
    <phoneticPr fontId="2"/>
  </si>
  <si>
    <t>梁</t>
    <rPh sb="0" eb="1">
      <t>ハリ</t>
    </rPh>
    <phoneticPr fontId="2"/>
  </si>
  <si>
    <t>柱アンカー</t>
    <rPh sb="0" eb="1">
      <t>ハシラ</t>
    </rPh>
    <phoneticPr fontId="2"/>
  </si>
  <si>
    <t>イ）作用荷重</t>
    <rPh sb="2" eb="4">
      <t>サヨウ</t>
    </rPh>
    <rPh sb="4" eb="6">
      <t>カジュウ</t>
    </rPh>
    <phoneticPr fontId="2"/>
  </si>
  <si>
    <t>設計風荷重</t>
    <rPh sb="0" eb="2">
      <t>セッケイ</t>
    </rPh>
    <rPh sb="2" eb="3">
      <t>カゼ</t>
    </rPh>
    <rPh sb="3" eb="5">
      <t>カジュウ</t>
    </rPh>
    <phoneticPr fontId="2"/>
  </si>
  <si>
    <t>設計風荷重（標識板）</t>
    <rPh sb="0" eb="2">
      <t>セッケイ</t>
    </rPh>
    <rPh sb="2" eb="3">
      <t>カゼ</t>
    </rPh>
    <rPh sb="3" eb="5">
      <t>カジュウ</t>
    </rPh>
    <rPh sb="6" eb="9">
      <t>ヒョウシキバン</t>
    </rPh>
    <phoneticPr fontId="2"/>
  </si>
  <si>
    <t>wb=1/2×ρ×v^2×Cd＝</t>
    <phoneticPr fontId="2"/>
  </si>
  <si>
    <t>N/㎡</t>
    <phoneticPr fontId="2"/>
  </si>
  <si>
    <t>設計風荷重（支柱）</t>
    <rPh sb="0" eb="2">
      <t>セッケイ</t>
    </rPh>
    <rPh sb="2" eb="3">
      <t>カゼ</t>
    </rPh>
    <rPh sb="3" eb="5">
      <t>カジュウ</t>
    </rPh>
    <rPh sb="6" eb="8">
      <t>シチュウ</t>
    </rPh>
    <phoneticPr fontId="2"/>
  </si>
  <si>
    <t>ws=1/2×ρ×v^2×Cd＝</t>
    <phoneticPr fontId="2"/>
  </si>
  <si>
    <t>ここに</t>
    <phoneticPr fontId="2"/>
  </si>
  <si>
    <t>ρ=</t>
    <phoneticPr fontId="2"/>
  </si>
  <si>
    <t>補助標識</t>
    <rPh sb="0" eb="2">
      <t>ホジョ</t>
    </rPh>
    <rPh sb="2" eb="4">
      <t>ヒョウシキ</t>
    </rPh>
    <phoneticPr fontId="2"/>
  </si>
  <si>
    <t>径φ</t>
    <rPh sb="0" eb="1">
      <t>ケイ</t>
    </rPh>
    <phoneticPr fontId="2"/>
  </si>
  <si>
    <t>肉厚t</t>
    <rPh sb="0" eb="2">
      <t>ニクアツ</t>
    </rPh>
    <phoneticPr fontId="2"/>
  </si>
  <si>
    <t>N</t>
    <phoneticPr fontId="2"/>
  </si>
  <si>
    <t>合計（ΣH）</t>
    <rPh sb="0" eb="2">
      <t>ゴウケイ</t>
    </rPh>
    <phoneticPr fontId="2"/>
  </si>
  <si>
    <t>支柱地際の曲げモーメント</t>
    <rPh sb="0" eb="2">
      <t>シチュウ</t>
    </rPh>
    <rPh sb="2" eb="4">
      <t>ジギワ</t>
    </rPh>
    <rPh sb="5" eb="6">
      <t>マ</t>
    </rPh>
    <phoneticPr fontId="2"/>
  </si>
  <si>
    <t>h1=</t>
    <phoneticPr fontId="2"/>
  </si>
  <si>
    <t>1/2h=</t>
    <phoneticPr fontId="2"/>
  </si>
  <si>
    <t>N・m</t>
    <phoneticPr fontId="2"/>
  </si>
  <si>
    <t>ここに、</t>
    <phoneticPr fontId="2"/>
  </si>
  <si>
    <t>イ）断面力の算出</t>
    <rPh sb="2" eb="4">
      <t>ダンメン</t>
    </rPh>
    <rPh sb="4" eb="5">
      <t>リョク</t>
    </rPh>
    <rPh sb="6" eb="8">
      <t>サンシュツ</t>
    </rPh>
    <phoneticPr fontId="2"/>
  </si>
  <si>
    <t>①曲げモーメント</t>
    <rPh sb="1" eb="2">
      <t>マ</t>
    </rPh>
    <phoneticPr fontId="2"/>
  </si>
  <si>
    <t>②せん断力</t>
    <rPh sb="3" eb="5">
      <t>ダンリョク</t>
    </rPh>
    <phoneticPr fontId="2"/>
  </si>
  <si>
    <t>S=</t>
    <phoneticPr fontId="2"/>
  </si>
  <si>
    <t>ウ）応力度の算出</t>
    <rPh sb="2" eb="5">
      <t>オウリョクド</t>
    </rPh>
    <rPh sb="6" eb="8">
      <t>サンシュツ</t>
    </rPh>
    <phoneticPr fontId="2"/>
  </si>
  <si>
    <t>支柱地際での応力度を照査する。</t>
    <rPh sb="0" eb="2">
      <t>シチュウ</t>
    </rPh>
    <rPh sb="2" eb="4">
      <t>ジギワ</t>
    </rPh>
    <rPh sb="6" eb="9">
      <t>オウリョクド</t>
    </rPh>
    <rPh sb="10" eb="12">
      <t>ショウサ</t>
    </rPh>
    <phoneticPr fontId="2"/>
  </si>
  <si>
    <t>①曲げ応力度</t>
    <rPh sb="1" eb="2">
      <t>マ</t>
    </rPh>
    <rPh sb="3" eb="6">
      <t>オウリョクド</t>
    </rPh>
    <phoneticPr fontId="2"/>
  </si>
  <si>
    <t>cσb=M/Z＝</t>
    <phoneticPr fontId="2"/>
  </si>
  <si>
    <t>N/m㎡</t>
    <phoneticPr fontId="2"/>
  </si>
  <si>
    <t>M</t>
    <phoneticPr fontId="2"/>
  </si>
  <si>
    <t>Z</t>
    <phoneticPr fontId="2"/>
  </si>
  <si>
    <t>cσb/(fb×1.5)=</t>
    <phoneticPr fontId="2"/>
  </si>
  <si>
    <t>1.5fb</t>
    <phoneticPr fontId="2"/>
  </si>
  <si>
    <t>②せん断応力度</t>
    <rPh sb="3" eb="4">
      <t>ダン</t>
    </rPh>
    <rPh sb="4" eb="7">
      <t>オウリョクド</t>
    </rPh>
    <phoneticPr fontId="2"/>
  </si>
  <si>
    <t>柱の断面決定は曲げモーメントが支配的であるため、せん断応力度力の算出は省略する。</t>
    <rPh sb="0" eb="1">
      <t>ハシラ</t>
    </rPh>
    <rPh sb="2" eb="4">
      <t>ダンメン</t>
    </rPh>
    <rPh sb="4" eb="6">
      <t>ケッテイ</t>
    </rPh>
    <rPh sb="7" eb="8">
      <t>マ</t>
    </rPh>
    <rPh sb="15" eb="18">
      <t>シハイテキ</t>
    </rPh>
    <rPh sb="26" eb="27">
      <t>ダン</t>
    </rPh>
    <rPh sb="27" eb="30">
      <t>オウリョクド</t>
    </rPh>
    <rPh sb="30" eb="31">
      <t>チカラ</t>
    </rPh>
    <rPh sb="32" eb="34">
      <t>サンシュツ</t>
    </rPh>
    <rPh sb="35" eb="37">
      <t>ショウリャク</t>
    </rPh>
    <phoneticPr fontId="2"/>
  </si>
  <si>
    <t>３．基礎の計算</t>
    <rPh sb="2" eb="4">
      <t>キソ</t>
    </rPh>
    <rPh sb="5" eb="7">
      <t>ケイサン</t>
    </rPh>
    <phoneticPr fontId="2"/>
  </si>
  <si>
    <t>ア）基礎寸法</t>
    <rPh sb="2" eb="4">
      <t>キソ</t>
    </rPh>
    <rPh sb="4" eb="6">
      <t>スンポウ</t>
    </rPh>
    <phoneticPr fontId="2"/>
  </si>
  <si>
    <t>上図より、</t>
    <rPh sb="0" eb="2">
      <t>ジョウズ</t>
    </rPh>
    <phoneticPr fontId="2"/>
  </si>
  <si>
    <t>2b=Bk=</t>
    <phoneticPr fontId="2"/>
  </si>
  <si>
    <t>2a=Lk=</t>
    <phoneticPr fontId="2"/>
  </si>
  <si>
    <t>L=Dk=</t>
    <phoneticPr fontId="2"/>
  </si>
  <si>
    <t>イ）地盤反力係数の算出</t>
    <rPh sb="2" eb="4">
      <t>ジバン</t>
    </rPh>
    <rPh sb="4" eb="6">
      <t>ハンリョク</t>
    </rPh>
    <rPh sb="6" eb="8">
      <t>ケイスウ</t>
    </rPh>
    <rPh sb="9" eb="11">
      <t>サンシュツ</t>
    </rPh>
    <phoneticPr fontId="2"/>
  </si>
  <si>
    <t>①水平方向地盤反力係数</t>
    <rPh sb="1" eb="3">
      <t>スイヘイ</t>
    </rPh>
    <rPh sb="3" eb="5">
      <t>ホウコウ</t>
    </rPh>
    <rPh sb="5" eb="7">
      <t>ジバン</t>
    </rPh>
    <rPh sb="7" eb="9">
      <t>ハンリョク</t>
    </rPh>
    <rPh sb="9" eb="11">
      <t>ケイスウ</t>
    </rPh>
    <phoneticPr fontId="2"/>
  </si>
  <si>
    <t>Kh=αk・KH0（BH/0.3)＾（-3/4)＝</t>
    <phoneticPr fontId="2"/>
  </si>
  <si>
    <t>Kh：水平方向地盤反力係数(kN/m3)</t>
    <rPh sb="3" eb="13">
      <t>スイヘイホウコウジバンハンリョクケイスウ</t>
    </rPh>
    <phoneticPr fontId="2"/>
  </si>
  <si>
    <t>α：地盤反力係数の推定に用いる係数（α=1)</t>
    <rPh sb="2" eb="4">
      <t>ジバン</t>
    </rPh>
    <rPh sb="4" eb="6">
      <t>ハンリョク</t>
    </rPh>
    <rPh sb="6" eb="8">
      <t>ケイスウ</t>
    </rPh>
    <rPh sb="9" eb="11">
      <t>スイテイ</t>
    </rPh>
    <rPh sb="12" eb="13">
      <t>モチ</t>
    </rPh>
    <rPh sb="15" eb="17">
      <t>ケイスウ</t>
    </rPh>
    <phoneticPr fontId="2"/>
  </si>
  <si>
    <t>αk：補正係数（αk=1.2)</t>
    <rPh sb="3" eb="5">
      <t>ホセイ</t>
    </rPh>
    <rPh sb="5" eb="7">
      <t>ケイスウ</t>
    </rPh>
    <phoneticPr fontId="2"/>
  </si>
  <si>
    <t>N：N値（N値=10)</t>
    <rPh sb="3" eb="4">
      <t>チ</t>
    </rPh>
    <rPh sb="6" eb="7">
      <t>チ</t>
    </rPh>
    <phoneticPr fontId="2"/>
  </si>
  <si>
    <t>E0：設計対象とする位置での地盤の変形係数（kN/㎡)</t>
    <rPh sb="3" eb="5">
      <t>セッケイ</t>
    </rPh>
    <rPh sb="5" eb="7">
      <t>タイショウ</t>
    </rPh>
    <rPh sb="10" eb="12">
      <t>イチ</t>
    </rPh>
    <rPh sb="14" eb="16">
      <t>ジバン</t>
    </rPh>
    <rPh sb="17" eb="19">
      <t>ヘンケイ</t>
    </rPh>
    <rPh sb="19" eb="21">
      <t>ケイスウ</t>
    </rPh>
    <phoneticPr fontId="2"/>
  </si>
  <si>
    <t>E0=2800・N</t>
    <phoneticPr fontId="2"/>
  </si>
  <si>
    <t>BH=</t>
    <phoneticPr fontId="2"/>
  </si>
  <si>
    <t>BH：荷重作用方向に直交する基礎の換算載荷幅(m)</t>
    <rPh sb="3" eb="5">
      <t>カジュウ</t>
    </rPh>
    <rPh sb="5" eb="7">
      <t>サヨウ</t>
    </rPh>
    <rPh sb="7" eb="9">
      <t>ホウコウ</t>
    </rPh>
    <rPh sb="10" eb="12">
      <t>チョッコウ</t>
    </rPh>
    <rPh sb="14" eb="16">
      <t>キソ</t>
    </rPh>
    <rPh sb="17" eb="19">
      <t>カンサン</t>
    </rPh>
    <rPh sb="19" eb="21">
      <t>サイカ</t>
    </rPh>
    <rPh sb="21" eb="22">
      <t>ハバ</t>
    </rPh>
    <phoneticPr fontId="2"/>
  </si>
  <si>
    <t>Be=2b=Bk</t>
    <phoneticPr fontId="2"/>
  </si>
  <si>
    <t>Le=L=Dk</t>
    <phoneticPr fontId="2"/>
  </si>
  <si>
    <t>√(Be・Le)＝</t>
    <phoneticPr fontId="2"/>
  </si>
  <si>
    <t>Bk</t>
    <phoneticPr fontId="2"/>
  </si>
  <si>
    <t>Lk</t>
    <phoneticPr fontId="2"/>
  </si>
  <si>
    <t>条件　Be≦√(Be・Le)より、</t>
    <rPh sb="0" eb="2">
      <t>ジョウケン</t>
    </rPh>
    <phoneticPr fontId="2"/>
  </si>
  <si>
    <t>②鉛直方向地盤反力係数</t>
    <rPh sb="1" eb="3">
      <t>エンチョク</t>
    </rPh>
    <rPh sb="3" eb="5">
      <t>ホウコウ</t>
    </rPh>
    <rPh sb="5" eb="7">
      <t>ジバン</t>
    </rPh>
    <rPh sb="7" eb="9">
      <t>ハンリョク</t>
    </rPh>
    <rPh sb="9" eb="11">
      <t>ケイスウ</t>
    </rPh>
    <phoneticPr fontId="2"/>
  </si>
  <si>
    <t>Kv=Kv0（BV/0.3)＾（-3/4)＝</t>
    <phoneticPr fontId="2"/>
  </si>
  <si>
    <t>Kv：鉛直方向地盤反力係数(kN/m3)</t>
    <rPh sb="3" eb="5">
      <t>エンチョク</t>
    </rPh>
    <rPh sb="5" eb="7">
      <t>ホウコウ</t>
    </rPh>
    <rPh sb="7" eb="9">
      <t>ジバン</t>
    </rPh>
    <rPh sb="9" eb="11">
      <t>ハンリョク</t>
    </rPh>
    <rPh sb="11" eb="13">
      <t>ケイスウ</t>
    </rPh>
    <phoneticPr fontId="2"/>
  </si>
  <si>
    <t>Kv0：直径0.3mの剛体円板による平板載荷試験の値に相当する水平方向の地盤反力係数(kN/m3)</t>
    <rPh sb="4" eb="6">
      <t>チョッケイ</t>
    </rPh>
    <rPh sb="11" eb="13">
      <t>ゴウタイ</t>
    </rPh>
    <rPh sb="13" eb="15">
      <t>エンバン</t>
    </rPh>
    <rPh sb="18" eb="20">
      <t>ヘイバン</t>
    </rPh>
    <rPh sb="20" eb="22">
      <t>サイカ</t>
    </rPh>
    <rPh sb="22" eb="24">
      <t>シケン</t>
    </rPh>
    <rPh sb="25" eb="26">
      <t>アタイ</t>
    </rPh>
    <rPh sb="27" eb="29">
      <t>ソウトウ</t>
    </rPh>
    <rPh sb="31" eb="33">
      <t>スイヘイ</t>
    </rPh>
    <rPh sb="33" eb="35">
      <t>ホウコウ</t>
    </rPh>
    <rPh sb="36" eb="38">
      <t>ジバン</t>
    </rPh>
    <rPh sb="38" eb="40">
      <t>ハンリョク</t>
    </rPh>
    <rPh sb="40" eb="42">
      <t>ケイスウ</t>
    </rPh>
    <phoneticPr fontId="2"/>
  </si>
  <si>
    <t>Bv：荷重作用方向に直交する基礎の換算載荷幅(m)</t>
    <rPh sb="3" eb="5">
      <t>カジュウ</t>
    </rPh>
    <rPh sb="5" eb="7">
      <t>サヨウ</t>
    </rPh>
    <rPh sb="7" eb="9">
      <t>ホウコウ</t>
    </rPh>
    <rPh sb="10" eb="12">
      <t>チョッコウ</t>
    </rPh>
    <rPh sb="14" eb="16">
      <t>キソ</t>
    </rPh>
    <rPh sb="17" eb="19">
      <t>カンサン</t>
    </rPh>
    <rPh sb="19" eb="21">
      <t>サイカ</t>
    </rPh>
    <rPh sb="21" eb="22">
      <t>ハバ</t>
    </rPh>
    <phoneticPr fontId="2"/>
  </si>
  <si>
    <t>Bv=√(Av)</t>
    <phoneticPr fontId="2"/>
  </si>
  <si>
    <t>Av：鉛直方向の載荷面積（㎡）</t>
    <rPh sb="3" eb="5">
      <t>エンチョク</t>
    </rPh>
    <rPh sb="5" eb="7">
      <t>ホウコウ</t>
    </rPh>
    <rPh sb="8" eb="10">
      <t>サイカ</t>
    </rPh>
    <rPh sb="10" eb="12">
      <t>メンセキ</t>
    </rPh>
    <phoneticPr fontId="2"/>
  </si>
  <si>
    <t>Av=Bk・Lk</t>
    <phoneticPr fontId="2"/>
  </si>
  <si>
    <t>㎡</t>
    <phoneticPr fontId="2"/>
  </si>
  <si>
    <t>Kv0=(1/0.3)・α・E0</t>
    <phoneticPr fontId="2"/>
  </si>
  <si>
    <t>Kh0：直径0.3mの剛体円板による平板載荷試験の値に相当する水平方向の地盤反力係数(kN/m3)</t>
    <rPh sb="4" eb="6">
      <t>チョッケイ</t>
    </rPh>
    <rPh sb="11" eb="13">
      <t>ゴウタイ</t>
    </rPh>
    <rPh sb="13" eb="15">
      <t>エンバン</t>
    </rPh>
    <rPh sb="18" eb="20">
      <t>ヘイバン</t>
    </rPh>
    <rPh sb="20" eb="22">
      <t>サイカ</t>
    </rPh>
    <rPh sb="22" eb="24">
      <t>シケン</t>
    </rPh>
    <rPh sb="25" eb="26">
      <t>アタイ</t>
    </rPh>
    <rPh sb="27" eb="29">
      <t>ソウトウ</t>
    </rPh>
    <rPh sb="31" eb="33">
      <t>スイヘイ</t>
    </rPh>
    <rPh sb="33" eb="35">
      <t>ホウコウ</t>
    </rPh>
    <rPh sb="36" eb="38">
      <t>ジバン</t>
    </rPh>
    <rPh sb="38" eb="40">
      <t>ハンリョク</t>
    </rPh>
    <rPh sb="40" eb="42">
      <t>ケイスウ</t>
    </rPh>
    <phoneticPr fontId="2"/>
  </si>
  <si>
    <t>Kh0=(1/0.3)・α・E0</t>
    <phoneticPr fontId="2"/>
  </si>
  <si>
    <t>ウ）βの算定</t>
    <rPh sb="4" eb="6">
      <t>サンテイ</t>
    </rPh>
    <phoneticPr fontId="2"/>
  </si>
  <si>
    <t>2a・2b・L・γc=</t>
  </si>
  <si>
    <t>kN</t>
    <phoneticPr fontId="2"/>
  </si>
  <si>
    <t>βの仮定値</t>
    <rPh sb="2" eb="4">
      <t>カテイ</t>
    </rPh>
    <rPh sb="4" eb="5">
      <t>チ</t>
    </rPh>
    <phoneticPr fontId="2"/>
  </si>
  <si>
    <t>β</t>
    <phoneticPr fontId="2"/>
  </si>
  <si>
    <t>rad</t>
    <phoneticPr fontId="2"/>
  </si>
  <si>
    <t>β＝</t>
    <phoneticPr fontId="2"/>
  </si>
  <si>
    <t>と仮定すると、</t>
    <rPh sb="1" eb="3">
      <t>カテイ</t>
    </rPh>
    <phoneticPr fontId="2"/>
  </si>
  <si>
    <t>2a・2b・L・γc=Kv・a^3・θ・ν1となるようにβを定める。</t>
    <rPh sb="30" eb="31">
      <t>サダ</t>
    </rPh>
    <phoneticPr fontId="2"/>
  </si>
  <si>
    <t>ν1=n（1+n・cotβ）^2＝</t>
    <phoneticPr fontId="2"/>
  </si>
  <si>
    <t>ν2=n/3・（2-n・cotβ)×(1+n・cotβ)^2=</t>
    <phoneticPr fontId="2"/>
  </si>
  <si>
    <t>ここに、</t>
    <phoneticPr fontId="2"/>
  </si>
  <si>
    <t>n=2b/2a=</t>
    <phoneticPr fontId="2"/>
  </si>
  <si>
    <t>°</t>
    <phoneticPr fontId="2"/>
  </si>
  <si>
    <t>K1=b・Kh・L=</t>
    <phoneticPr fontId="2"/>
  </si>
  <si>
    <t>K2=2/3・b･Kh・L^2=</t>
    <phoneticPr fontId="2"/>
  </si>
  <si>
    <t>道路橋示方書・同解説　Ⅳ下部工編（日本道路協会　平成6年2月）</t>
    <rPh sb="0" eb="3">
      <t>ドウロキョウ</t>
    </rPh>
    <rPh sb="3" eb="6">
      <t>シホウショ</t>
    </rPh>
    <rPh sb="7" eb="8">
      <t>ドウ</t>
    </rPh>
    <rPh sb="8" eb="10">
      <t>カイセツ</t>
    </rPh>
    <rPh sb="12" eb="15">
      <t>カブコウ</t>
    </rPh>
    <rPh sb="15" eb="16">
      <t>ヘン</t>
    </rPh>
    <rPh sb="17" eb="19">
      <t>ニホン</t>
    </rPh>
    <rPh sb="19" eb="21">
      <t>ドウロ</t>
    </rPh>
    <rPh sb="21" eb="23">
      <t>キョウカイ</t>
    </rPh>
    <rPh sb="24" eb="26">
      <t>ヘイセイ</t>
    </rPh>
    <rPh sb="27" eb="28">
      <t>ネン</t>
    </rPh>
    <rPh sb="29" eb="30">
      <t>ガツ</t>
    </rPh>
    <phoneticPr fontId="2"/>
  </si>
  <si>
    <t>道路橋示方書・同解説　Ⅳ下部工編（日本道路協会　平成24年3月）</t>
    <rPh sb="0" eb="3">
      <t>ドウロキョウ</t>
    </rPh>
    <rPh sb="3" eb="6">
      <t>シホウショ</t>
    </rPh>
    <rPh sb="7" eb="8">
      <t>ドウ</t>
    </rPh>
    <rPh sb="8" eb="10">
      <t>カイセツ</t>
    </rPh>
    <rPh sb="12" eb="15">
      <t>カブコウ</t>
    </rPh>
    <rPh sb="15" eb="16">
      <t>ヘン</t>
    </rPh>
    <rPh sb="17" eb="19">
      <t>ニホン</t>
    </rPh>
    <rPh sb="19" eb="21">
      <t>ドウロ</t>
    </rPh>
    <rPh sb="21" eb="23">
      <t>キョウカイ</t>
    </rPh>
    <rPh sb="24" eb="26">
      <t>ヘイセイ</t>
    </rPh>
    <rPh sb="28" eb="29">
      <t>ネン</t>
    </rPh>
    <rPh sb="30" eb="31">
      <t>ガツ</t>
    </rPh>
    <phoneticPr fontId="2"/>
  </si>
  <si>
    <t>θ=(M・K1+H・K2)/(K1・K3－K2^2)=</t>
    <phoneticPr fontId="2"/>
  </si>
  <si>
    <t>Kv・a^3・θ・ν1=</t>
    <phoneticPr fontId="2"/>
  </si>
  <si>
    <t>差</t>
    <rPh sb="0" eb="1">
      <t>サ</t>
    </rPh>
    <phoneticPr fontId="2"/>
  </si>
  <si>
    <t>オ）安定チェック</t>
    <rPh sb="2" eb="4">
      <t>アンテイ</t>
    </rPh>
    <phoneticPr fontId="2"/>
  </si>
  <si>
    <t>h･θ≦2.4L・γ（Kp/Kh)　となることを確かめる。</t>
    <rPh sb="24" eb="25">
      <t>タシ</t>
    </rPh>
    <phoneticPr fontId="2"/>
  </si>
  <si>
    <t>h=(M・K2+H・K3)/(M・K1+H・K2)=</t>
    <phoneticPr fontId="2"/>
  </si>
  <si>
    <t>h・θ=</t>
    <phoneticPr fontId="2"/>
  </si>
  <si>
    <t>2.4・L・γ（Kp/Kh)=</t>
    <phoneticPr fontId="2"/>
  </si>
  <si>
    <t>カ）前面地盤の検討</t>
    <rPh sb="2" eb="4">
      <t>ゼンメン</t>
    </rPh>
    <rPh sb="4" eb="6">
      <t>ジバン</t>
    </rPh>
    <rPh sb="7" eb="9">
      <t>ケントウ</t>
    </rPh>
    <phoneticPr fontId="2"/>
  </si>
  <si>
    <t>Pmax=（Kh・h^2）・θ／(4・L)=</t>
    <phoneticPr fontId="2"/>
  </si>
  <si>
    <t>Pa=Kp・γ・h/2=</t>
    <phoneticPr fontId="2"/>
  </si>
  <si>
    <t>Pmax/αk=</t>
    <phoneticPr fontId="2"/>
  </si>
  <si>
    <t>kN/m2</t>
    <phoneticPr fontId="2"/>
  </si>
  <si>
    <t>キ）斜風時の検討、および基礎本体の検討</t>
    <rPh sb="2" eb="5">
      <t>シャフウジ</t>
    </rPh>
    <rPh sb="6" eb="8">
      <t>ケントウ</t>
    </rPh>
    <rPh sb="12" eb="14">
      <t>キソ</t>
    </rPh>
    <rPh sb="14" eb="16">
      <t>ホンタイ</t>
    </rPh>
    <rPh sb="17" eb="19">
      <t>ケントウ</t>
    </rPh>
    <phoneticPr fontId="2"/>
  </si>
  <si>
    <t>斜風時は正面風時より風荷重が小さいため、安定計算を省略する。</t>
    <rPh sb="0" eb="3">
      <t>シャフウジ</t>
    </rPh>
    <rPh sb="4" eb="6">
      <t>ショウメン</t>
    </rPh>
    <rPh sb="6" eb="7">
      <t>フウ</t>
    </rPh>
    <rPh sb="7" eb="8">
      <t>ジ</t>
    </rPh>
    <rPh sb="10" eb="11">
      <t>カゼ</t>
    </rPh>
    <rPh sb="11" eb="13">
      <t>カジュウ</t>
    </rPh>
    <rPh sb="14" eb="15">
      <t>チイ</t>
    </rPh>
    <rPh sb="20" eb="22">
      <t>アンテイ</t>
    </rPh>
    <rPh sb="22" eb="24">
      <t>ケイサン</t>
    </rPh>
    <rPh sb="25" eb="27">
      <t>ショウリャク</t>
    </rPh>
    <phoneticPr fontId="2"/>
  </si>
  <si>
    <t>基礎本体についても検討を省略する。</t>
    <rPh sb="0" eb="2">
      <t>キソ</t>
    </rPh>
    <rPh sb="2" eb="4">
      <t>ホンタイ</t>
    </rPh>
    <rPh sb="9" eb="11">
      <t>ケントウ</t>
    </rPh>
    <rPh sb="12" eb="14">
      <t>ショウリャク</t>
    </rPh>
    <phoneticPr fontId="2"/>
  </si>
  <si>
    <t>名称</t>
    <rPh sb="0" eb="2">
      <t>メイショウ</t>
    </rPh>
    <phoneticPr fontId="2"/>
  </si>
  <si>
    <t>番号</t>
    <rPh sb="0" eb="2">
      <t>バンゴウ</t>
    </rPh>
    <phoneticPr fontId="2"/>
  </si>
  <si>
    <t>X</t>
    <phoneticPr fontId="2"/>
  </si>
  <si>
    <t>Y</t>
    <phoneticPr fontId="2"/>
  </si>
  <si>
    <t>２．計算結果</t>
    <rPh sb="2" eb="4">
      <t>ケイサン</t>
    </rPh>
    <rPh sb="4" eb="6">
      <t>ケッカ</t>
    </rPh>
    <phoneticPr fontId="2"/>
  </si>
  <si>
    <t>cσb=</t>
    <phoneticPr fontId="2"/>
  </si>
  <si>
    <t>N/mm2</t>
    <phoneticPr fontId="2"/>
  </si>
  <si>
    <t>cσb/(fb×1.5)=</t>
    <phoneticPr fontId="2"/>
  </si>
  <si>
    <t>柱地際の曲げ応力度</t>
    <rPh sb="0" eb="1">
      <t>ハシラ</t>
    </rPh>
    <rPh sb="1" eb="3">
      <t>ジギワ</t>
    </rPh>
    <rPh sb="4" eb="5">
      <t>マ</t>
    </rPh>
    <rPh sb="6" eb="9">
      <t>オウリョクド</t>
    </rPh>
    <phoneticPr fontId="2"/>
  </si>
  <si>
    <t>基礎工</t>
    <rPh sb="0" eb="3">
      <t>キソコウ</t>
    </rPh>
    <phoneticPr fontId="2"/>
  </si>
  <si>
    <t>前面地盤の検討</t>
    <rPh sb="0" eb="2">
      <t>ゼンメン</t>
    </rPh>
    <rPh sb="2" eb="4">
      <t>ジバン</t>
    </rPh>
    <rPh sb="5" eb="7">
      <t>ケントウ</t>
    </rPh>
    <phoneticPr fontId="2"/>
  </si>
  <si>
    <t>コンクリート</t>
    <phoneticPr fontId="2"/>
  </si>
  <si>
    <t>　設計基準強度</t>
    <rPh sb="1" eb="3">
      <t>セッケイ</t>
    </rPh>
    <rPh sb="3" eb="5">
      <t>キジュン</t>
    </rPh>
    <rPh sb="5" eb="7">
      <t>キョウド</t>
    </rPh>
    <phoneticPr fontId="2"/>
  </si>
  <si>
    <t>　支圧応力度</t>
    <rPh sb="1" eb="3">
      <t>シアツ</t>
    </rPh>
    <rPh sb="3" eb="6">
      <t>オウリョクド</t>
    </rPh>
    <phoneticPr fontId="2"/>
  </si>
  <si>
    <t>エ）柱の根入れ</t>
    <rPh sb="2" eb="3">
      <t>ハシラ</t>
    </rPh>
    <rPh sb="4" eb="6">
      <t>ネイ</t>
    </rPh>
    <phoneticPr fontId="2"/>
  </si>
  <si>
    <t>ここに、</t>
    <phoneticPr fontId="2"/>
  </si>
  <si>
    <t>N/mm2</t>
    <phoneticPr fontId="2"/>
  </si>
  <si>
    <t>σba(許容支圧応力度)=</t>
    <rPh sb="4" eb="6">
      <t>キョヨウ</t>
    </rPh>
    <rPh sb="6" eb="8">
      <t>シアツ</t>
    </rPh>
    <rPh sb="8" eb="11">
      <t>オウリョクド</t>
    </rPh>
    <phoneticPr fontId="2"/>
  </si>
  <si>
    <t>長期×1.5</t>
    <rPh sb="0" eb="2">
      <t>チョウキ</t>
    </rPh>
    <phoneticPr fontId="2"/>
  </si>
  <si>
    <t>L=（H+√(H^2+24・σba・φ・M))/（2・σba・φ)=</t>
    <phoneticPr fontId="2"/>
  </si>
  <si>
    <t>mm</t>
    <phoneticPr fontId="2"/>
  </si>
  <si>
    <t>基礎深さDkを根入れ長とし、確認を行う。</t>
    <rPh sb="0" eb="2">
      <t>キソ</t>
    </rPh>
    <rPh sb="2" eb="3">
      <t>フカ</t>
    </rPh>
    <rPh sb="7" eb="9">
      <t>ネイ</t>
    </rPh>
    <rPh sb="10" eb="11">
      <t>チョウ</t>
    </rPh>
    <rPh sb="14" eb="16">
      <t>カクニン</t>
    </rPh>
    <rPh sb="17" eb="18">
      <t>オコナ</t>
    </rPh>
    <phoneticPr fontId="2"/>
  </si>
  <si>
    <t>Dk=</t>
    <phoneticPr fontId="2"/>
  </si>
  <si>
    <t>柱根入れ長</t>
    <phoneticPr fontId="2"/>
  </si>
  <si>
    <t>必要長L=</t>
    <rPh sb="0" eb="2">
      <t>ヒツヨウ</t>
    </rPh>
    <rPh sb="2" eb="3">
      <t>チョウ</t>
    </rPh>
    <phoneticPr fontId="2"/>
  </si>
  <si>
    <t>2a</t>
    <phoneticPr fontId="2"/>
  </si>
  <si>
    <t>a</t>
    <phoneticPr fontId="2"/>
  </si>
  <si>
    <t>2b</t>
    <phoneticPr fontId="2"/>
  </si>
  <si>
    <t>L</t>
    <phoneticPr fontId="2"/>
  </si>
  <si>
    <t>γc</t>
    <phoneticPr fontId="2"/>
  </si>
  <si>
    <t>n</t>
    <phoneticPr fontId="2"/>
  </si>
  <si>
    <t>Kh</t>
    <phoneticPr fontId="2"/>
  </si>
  <si>
    <t>α</t>
    <phoneticPr fontId="2"/>
  </si>
  <si>
    <t>β</t>
    <phoneticPr fontId="2"/>
  </si>
  <si>
    <t>番号</t>
    <rPh sb="0" eb="2">
      <t>バンゴウ</t>
    </rPh>
    <phoneticPr fontId="2"/>
  </si>
  <si>
    <t>ν1</t>
    <phoneticPr fontId="2"/>
  </si>
  <si>
    <t>ν2</t>
    <phoneticPr fontId="2"/>
  </si>
  <si>
    <t>K1</t>
    <phoneticPr fontId="2"/>
  </si>
  <si>
    <t>b</t>
    <phoneticPr fontId="2"/>
  </si>
  <si>
    <t>K2</t>
    <phoneticPr fontId="2"/>
  </si>
  <si>
    <t>Kv</t>
    <phoneticPr fontId="2"/>
  </si>
  <si>
    <t>θ</t>
    <phoneticPr fontId="2"/>
  </si>
  <si>
    <t>2a･2b･L･γc</t>
    <phoneticPr fontId="2"/>
  </si>
  <si>
    <t>K3</t>
    <phoneticPr fontId="2"/>
  </si>
  <si>
    <t>Kv･a^3･θ･ν1</t>
    <phoneticPr fontId="2"/>
  </si>
  <si>
    <t>β初期値</t>
    <rPh sb="1" eb="4">
      <t>ショキチ</t>
    </rPh>
    <phoneticPr fontId="2"/>
  </si>
  <si>
    <t>β最大値</t>
    <rPh sb="1" eb="4">
      <t>サイダイチ</t>
    </rPh>
    <phoneticPr fontId="2"/>
  </si>
  <si>
    <t>β増分</t>
    <rPh sb="1" eb="3">
      <t>ゾウブン</t>
    </rPh>
    <phoneticPr fontId="2"/>
  </si>
  <si>
    <t>差</t>
    <rPh sb="0" eb="1">
      <t>サ</t>
    </rPh>
    <phoneticPr fontId="2"/>
  </si>
  <si>
    <t>M(kN･m)</t>
    <phoneticPr fontId="2"/>
  </si>
  <si>
    <t>H(kN)</t>
    <phoneticPr fontId="2"/>
  </si>
  <si>
    <t>K3=1/2・b・Kh・L^3+Kv・a^4・ν2=</t>
    <phoneticPr fontId="2"/>
  </si>
  <si>
    <t>差絶対値</t>
    <rPh sb="0" eb="1">
      <t>サ</t>
    </rPh>
    <rPh sb="1" eb="4">
      <t>ゼッタイチ</t>
    </rPh>
    <phoneticPr fontId="2"/>
  </si>
  <si>
    <t>β決定値</t>
    <rPh sb="1" eb="3">
      <t>ケッテイ</t>
    </rPh>
    <rPh sb="3" eb="4">
      <t>チ</t>
    </rPh>
    <phoneticPr fontId="2"/>
  </si>
  <si>
    <t>1回目</t>
    <rPh sb="1" eb="3">
      <t>カイメ</t>
    </rPh>
    <phoneticPr fontId="2"/>
  </si>
  <si>
    <t>2回目</t>
    <rPh sb="1" eb="3">
      <t>カイメ</t>
    </rPh>
    <phoneticPr fontId="2"/>
  </si>
  <si>
    <t>3回目</t>
    <rPh sb="1" eb="3">
      <t>カイメ</t>
    </rPh>
    <phoneticPr fontId="2"/>
  </si>
  <si>
    <t>β値探索1回目</t>
    <rPh sb="1" eb="2">
      <t>チ</t>
    </rPh>
    <rPh sb="2" eb="4">
      <t>タンサク</t>
    </rPh>
    <rPh sb="5" eb="7">
      <t>カイメ</t>
    </rPh>
    <phoneticPr fontId="2"/>
  </si>
  <si>
    <t>β 基礎角部</t>
    <rPh sb="2" eb="4">
      <t>キソ</t>
    </rPh>
    <rPh sb="4" eb="5">
      <t>カド</t>
    </rPh>
    <rPh sb="5" eb="6">
      <t>ブ</t>
    </rPh>
    <phoneticPr fontId="2"/>
  </si>
  <si>
    <t>路側案内標識　設計計算（単柱式、直柱）Ver1.01</t>
    <rPh sb="0" eb="2">
      <t>ロソク</t>
    </rPh>
    <rPh sb="2" eb="4">
      <t>アンナイ</t>
    </rPh>
    <rPh sb="4" eb="6">
      <t>ヒョウシキ</t>
    </rPh>
    <rPh sb="7" eb="9">
      <t>セッケイ</t>
    </rPh>
    <rPh sb="9" eb="11">
      <t>ケイサン</t>
    </rPh>
    <rPh sb="12" eb="13">
      <t>タン</t>
    </rPh>
    <rPh sb="13" eb="14">
      <t>チュウ</t>
    </rPh>
    <rPh sb="14" eb="15">
      <t>シキ</t>
    </rPh>
    <rPh sb="16" eb="17">
      <t>チョク</t>
    </rPh>
    <rPh sb="17" eb="18">
      <t>チュウ</t>
    </rPh>
    <phoneticPr fontId="2"/>
  </si>
  <si>
    <t>案内標識板幅</t>
    <rPh sb="0" eb="2">
      <t>アンナイ</t>
    </rPh>
    <rPh sb="2" eb="5">
      <t>ヒョウシキバン</t>
    </rPh>
    <rPh sb="5" eb="6">
      <t>ハバ</t>
    </rPh>
    <phoneticPr fontId="2"/>
  </si>
  <si>
    <t>案内標識板高</t>
    <rPh sb="0" eb="2">
      <t>アンナイ</t>
    </rPh>
    <rPh sb="2" eb="5">
      <t>ヒョウシキバン</t>
    </rPh>
    <rPh sb="5" eb="6">
      <t>タカ</t>
    </rPh>
    <phoneticPr fontId="2"/>
  </si>
  <si>
    <t>M=P1×h1+P2×1/2h=</t>
    <phoneticPr fontId="2"/>
  </si>
  <si>
    <t>P1=wb×Bh×Hh=</t>
    <phoneticPr fontId="2"/>
  </si>
  <si>
    <t>P2=ws×φ×h=</t>
    <phoneticPr fontId="2"/>
  </si>
  <si>
    <t>案内標識</t>
    <rPh sb="0" eb="2">
      <t>アンナイ</t>
    </rPh>
    <rPh sb="2" eb="4">
      <t>ヒョウシキ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</si>
</sst>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0"/>
    <numFmt numFmtId="178" formatCode="0.00000"/>
    <numFmt numFmtId="179" formatCode="0.0000"/>
    <numFmt numFmtId="180" formatCode="0.00000_);[Red]\(0.00000\)"/>
    <numFmt numFmtId="181" formatCode="0.0000000_);[Red]\(0.0000000\)"/>
    <numFmt numFmtId="182" formatCode="0.00000_ "/>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0" fillId="2" borderId="0" xfId="0" applyFill="1">
      <alignment vertical="center"/>
    </xf>
    <xf numFmtId="176" fontId="0" fillId="2" borderId="1" xfId="0" applyNumberFormat="1" applyFill="1" applyBorder="1" applyProtection="1">
      <alignment vertical="center"/>
      <protection locked="0"/>
    </xf>
    <xf numFmtId="0" fontId="0" fillId="3" borderId="0" xfId="0" applyFill="1">
      <alignment vertical="center"/>
    </xf>
    <xf numFmtId="2" fontId="0" fillId="3" borderId="1" xfId="0" applyNumberFormat="1" applyFill="1" applyBorder="1" applyProtection="1">
      <alignment vertical="center"/>
      <protection locked="0"/>
    </xf>
    <xf numFmtId="0" fontId="0" fillId="0" borderId="1" xfId="0" applyBorder="1" applyProtection="1">
      <alignment vertical="center"/>
      <protection locked="0"/>
    </xf>
    <xf numFmtId="0" fontId="0" fillId="0" borderId="0" xfId="0" applyBorder="1">
      <alignment vertical="center"/>
    </xf>
    <xf numFmtId="0" fontId="0" fillId="0" borderId="1" xfId="0" applyBorder="1">
      <alignment vertical="center"/>
    </xf>
    <xf numFmtId="0" fontId="0" fillId="0" borderId="1" xfId="0" applyFill="1" applyBorder="1">
      <alignment vertical="center"/>
    </xf>
    <xf numFmtId="177" fontId="0" fillId="0" borderId="1" xfId="0" applyNumberFormat="1" applyBorder="1" applyProtection="1">
      <alignment vertical="center"/>
      <protection locked="0"/>
    </xf>
    <xf numFmtId="2" fontId="0" fillId="0" borderId="1" xfId="0" applyNumberFormat="1" applyBorder="1" applyProtection="1">
      <alignment vertical="center"/>
      <protection locked="0"/>
    </xf>
    <xf numFmtId="1" fontId="0" fillId="0" borderId="1" xfId="0" applyNumberFormat="1" applyBorder="1" applyProtection="1">
      <alignment vertical="center"/>
      <protection locked="0"/>
    </xf>
    <xf numFmtId="0" fontId="0" fillId="5" borderId="0" xfId="0" applyFill="1" applyBorder="1" applyAlignment="1">
      <alignment horizontal="center" vertical="center"/>
    </xf>
    <xf numFmtId="0" fontId="0" fillId="0" borderId="0" xfId="0" applyBorder="1" applyAlignment="1">
      <alignment horizontal="centerContinuous" vertical="center"/>
    </xf>
    <xf numFmtId="0" fontId="0" fillId="5" borderId="5" xfId="0" applyFill="1" applyBorder="1">
      <alignment vertical="center"/>
    </xf>
    <xf numFmtId="0" fontId="0" fillId="0" borderId="5" xfId="0" applyBorder="1">
      <alignment vertical="center"/>
    </xf>
    <xf numFmtId="0" fontId="0" fillId="0" borderId="6" xfId="0" applyBorder="1">
      <alignment vertical="center"/>
    </xf>
    <xf numFmtId="0" fontId="4" fillId="4" borderId="1" xfId="0" applyFont="1" applyFill="1" applyBorder="1">
      <alignment vertical="center"/>
    </xf>
    <xf numFmtId="0" fontId="0" fillId="4" borderId="1" xfId="0" applyFill="1" applyBorder="1">
      <alignment vertical="center"/>
    </xf>
    <xf numFmtId="0" fontId="0" fillId="0" borderId="0" xfId="0" applyAlignment="1">
      <alignment horizontal="right" vertical="center"/>
    </xf>
    <xf numFmtId="2" fontId="0" fillId="0" borderId="1" xfId="0" applyNumberFormat="1" applyBorder="1">
      <alignment vertical="center"/>
    </xf>
    <xf numFmtId="0" fontId="0" fillId="5" borderId="0" xfId="0" applyFill="1" applyBorder="1">
      <alignment vertical="center"/>
    </xf>
    <xf numFmtId="0" fontId="5" fillId="4" borderId="1" xfId="0" applyFont="1" applyFill="1" applyBorder="1" applyAlignment="1"/>
    <xf numFmtId="0" fontId="0" fillId="5" borderId="0" xfId="0" applyFill="1">
      <alignment vertical="center"/>
    </xf>
    <xf numFmtId="177" fontId="0" fillId="0" borderId="0" xfId="0" applyNumberFormat="1">
      <alignment vertical="center"/>
    </xf>
    <xf numFmtId="176" fontId="0" fillId="0" borderId="0" xfId="0" applyNumberFormat="1">
      <alignment vertical="center"/>
    </xf>
    <xf numFmtId="38" fontId="0" fillId="0" borderId="0" xfId="1" applyFont="1">
      <alignment vertical="center"/>
    </xf>
    <xf numFmtId="2" fontId="0" fillId="0" borderId="0" xfId="0" applyNumberFormat="1">
      <alignment vertical="center"/>
    </xf>
    <xf numFmtId="0" fontId="0" fillId="0" borderId="0"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Protection="1">
      <alignment vertical="center"/>
      <protection locked="0"/>
    </xf>
    <xf numFmtId="0" fontId="0" fillId="0" borderId="1" xfId="0" applyBorder="1" applyProtection="1">
      <alignment vertical="center"/>
    </xf>
    <xf numFmtId="1" fontId="0" fillId="0" borderId="0" xfId="0" applyNumberFormat="1">
      <alignment vertical="center"/>
    </xf>
    <xf numFmtId="1" fontId="0" fillId="0" borderId="0" xfId="0" applyNumberFormat="1" applyBorder="1">
      <alignment vertical="center"/>
    </xf>
    <xf numFmtId="176" fontId="0" fillId="0" borderId="1" xfId="0" applyNumberFormat="1" applyBorder="1">
      <alignment vertical="center"/>
    </xf>
    <xf numFmtId="38" fontId="0" fillId="0" borderId="1" xfId="0" applyNumberFormat="1" applyBorder="1">
      <alignment vertical="center"/>
    </xf>
    <xf numFmtId="179" fontId="0" fillId="0" borderId="0" xfId="0" applyNumberFormat="1">
      <alignment vertical="center"/>
    </xf>
    <xf numFmtId="178" fontId="0" fillId="0" borderId="1" xfId="0" applyNumberFormat="1" applyBorder="1">
      <alignment vertical="center"/>
    </xf>
    <xf numFmtId="1" fontId="0" fillId="0" borderId="1" xfId="0" applyNumberFormat="1" applyBorder="1">
      <alignment vertical="center"/>
    </xf>
    <xf numFmtId="181" fontId="0" fillId="0" borderId="1" xfId="0" applyNumberFormat="1" applyBorder="1">
      <alignment vertical="center"/>
    </xf>
    <xf numFmtId="182" fontId="0" fillId="0" borderId="1" xfId="0" applyNumberFormat="1" applyBorder="1">
      <alignment vertical="center"/>
    </xf>
    <xf numFmtId="176" fontId="0" fillId="0" borderId="1" xfId="0" applyNumberFormat="1" applyFill="1" applyBorder="1" applyProtection="1">
      <alignment vertical="center"/>
    </xf>
    <xf numFmtId="180" fontId="0" fillId="0" borderId="1"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桁区切り" xfId="1" builtinId="6"/>
    <cellStyle name="標準" xfId="0" builtinId="0"/>
  </cellStyles>
  <dxfs count="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図化!$C$2:$C$6</c:f>
              <c:numCache>
                <c:formatCode>General</c:formatCode>
                <c:ptCount val="5"/>
                <c:pt idx="0">
                  <c:v>-3.8149999999999996E-2</c:v>
                </c:pt>
                <c:pt idx="1">
                  <c:v>-3.8149999999999996E-2</c:v>
                </c:pt>
                <c:pt idx="2">
                  <c:v>3.8149999999999996E-2</c:v>
                </c:pt>
                <c:pt idx="3">
                  <c:v>3.8149999999999996E-2</c:v>
                </c:pt>
                <c:pt idx="4">
                  <c:v>-3.8149999999999996E-2</c:v>
                </c:pt>
              </c:numCache>
            </c:numRef>
          </c:xVal>
          <c:yVal>
            <c:numRef>
              <c:f>図化!$D$2:$D$6</c:f>
              <c:numCache>
                <c:formatCode>General</c:formatCode>
                <c:ptCount val="5"/>
                <c:pt idx="0" formatCode="0.00">
                  <c:v>-0.9</c:v>
                </c:pt>
                <c:pt idx="1">
                  <c:v>3.15</c:v>
                </c:pt>
                <c:pt idx="2">
                  <c:v>3.15</c:v>
                </c:pt>
                <c:pt idx="3">
                  <c:v>-0.9</c:v>
                </c:pt>
                <c:pt idx="4">
                  <c:v>-0.9</c:v>
                </c:pt>
              </c:numCache>
            </c:numRef>
          </c:yVal>
          <c:smooth val="0"/>
        </c:ser>
        <c:ser>
          <c:idx val="1"/>
          <c:order val="1"/>
          <c:spPr>
            <a:ln w="19050" cap="rnd">
              <a:solidFill>
                <a:schemeClr val="accent2"/>
              </a:solidFill>
              <a:round/>
            </a:ln>
            <a:effectLst/>
          </c:spPr>
          <c:marker>
            <c:symbol val="none"/>
          </c:marker>
          <c:xVal>
            <c:numRef>
              <c:f>図化!$C$7:$C$11</c:f>
              <c:numCache>
                <c:formatCode>General</c:formatCode>
                <c:ptCount val="5"/>
              </c:numCache>
            </c:numRef>
          </c:xVal>
          <c:yVal>
            <c:numRef>
              <c:f>図化!$D$7:$D$11</c:f>
              <c:numCache>
                <c:formatCode>General</c:formatCode>
                <c:ptCount val="5"/>
              </c:numCache>
            </c:numRef>
          </c:yVal>
          <c:smooth val="0"/>
        </c:ser>
        <c:ser>
          <c:idx val="2"/>
          <c:order val="2"/>
          <c:spPr>
            <a:ln w="19050" cap="rnd">
              <a:solidFill>
                <a:schemeClr val="accent3"/>
              </a:solidFill>
              <a:round/>
            </a:ln>
            <a:effectLst/>
          </c:spPr>
          <c:marker>
            <c:symbol val="none"/>
          </c:marker>
          <c:xVal>
            <c:numRef>
              <c:f>図化!$C$12:$C$16</c:f>
              <c:numCache>
                <c:formatCode>General</c:formatCode>
                <c:ptCount val="5"/>
                <c:pt idx="0">
                  <c:v>-0.25</c:v>
                </c:pt>
                <c:pt idx="1">
                  <c:v>-0.25</c:v>
                </c:pt>
                <c:pt idx="2">
                  <c:v>0.25</c:v>
                </c:pt>
                <c:pt idx="3">
                  <c:v>0.25</c:v>
                </c:pt>
                <c:pt idx="4">
                  <c:v>-0.25</c:v>
                </c:pt>
              </c:numCache>
            </c:numRef>
          </c:xVal>
          <c:yVal>
            <c:numRef>
              <c:f>図化!$D$12:$D$16</c:f>
              <c:numCache>
                <c:formatCode>General</c:formatCode>
                <c:ptCount val="5"/>
                <c:pt idx="0">
                  <c:v>1.8</c:v>
                </c:pt>
                <c:pt idx="1">
                  <c:v>3.3</c:v>
                </c:pt>
                <c:pt idx="2">
                  <c:v>3.3</c:v>
                </c:pt>
                <c:pt idx="3">
                  <c:v>1.8</c:v>
                </c:pt>
                <c:pt idx="4">
                  <c:v>1.8</c:v>
                </c:pt>
              </c:numCache>
            </c:numRef>
          </c:yVal>
          <c:smooth val="0"/>
        </c:ser>
        <c:ser>
          <c:idx val="3"/>
          <c:order val="3"/>
          <c:spPr>
            <a:ln w="19050" cap="rnd">
              <a:solidFill>
                <a:schemeClr val="accent4"/>
              </a:solidFill>
              <a:round/>
            </a:ln>
            <a:effectLst/>
          </c:spPr>
          <c:marker>
            <c:symbol val="none"/>
          </c:marker>
          <c:xVal>
            <c:numRef>
              <c:f>図化!$C$17:$C$21</c:f>
              <c:numCache>
                <c:formatCode>General</c:formatCode>
                <c:ptCount val="5"/>
                <c:pt idx="0">
                  <c:v>-0.3</c:v>
                </c:pt>
                <c:pt idx="1">
                  <c:v>-0.3</c:v>
                </c:pt>
                <c:pt idx="2">
                  <c:v>0.3</c:v>
                </c:pt>
                <c:pt idx="3">
                  <c:v>0.3</c:v>
                </c:pt>
                <c:pt idx="4">
                  <c:v>-0.3</c:v>
                </c:pt>
              </c:numCache>
            </c:numRef>
          </c:xVal>
          <c:yVal>
            <c:numRef>
              <c:f>図化!$D$17:$D$21</c:f>
              <c:numCache>
                <c:formatCode>General</c:formatCode>
                <c:ptCount val="5"/>
                <c:pt idx="0" formatCode="0.00">
                  <c:v>-0.9</c:v>
                </c:pt>
                <c:pt idx="1">
                  <c:v>0</c:v>
                </c:pt>
                <c:pt idx="2">
                  <c:v>0</c:v>
                </c:pt>
                <c:pt idx="3" formatCode="0.00">
                  <c:v>-0.9</c:v>
                </c:pt>
                <c:pt idx="4" formatCode="0.00">
                  <c:v>-0.9</c:v>
                </c:pt>
              </c:numCache>
            </c:numRef>
          </c:yVal>
          <c:smooth val="0"/>
        </c:ser>
        <c:dLbls>
          <c:showLegendKey val="0"/>
          <c:showVal val="0"/>
          <c:showCatName val="0"/>
          <c:showSerName val="0"/>
          <c:showPercent val="0"/>
          <c:showBubbleSize val="0"/>
        </c:dLbls>
        <c:axId val="238697472"/>
        <c:axId val="238707456"/>
      </c:scatterChart>
      <c:valAx>
        <c:axId val="238697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707456"/>
        <c:crosses val="autoZero"/>
        <c:crossBetween val="midCat"/>
      </c:valAx>
      <c:valAx>
        <c:axId val="238707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97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798096666488116E-2"/>
          <c:y val="1.1605958130035647E-2"/>
          <c:w val="0.87329940900244607"/>
          <c:h val="0.95351294241944007"/>
        </c:manualLayout>
      </c:layout>
      <c:scatterChart>
        <c:scatterStyle val="lineMarker"/>
        <c:varyColors val="0"/>
        <c:ser>
          <c:idx val="0"/>
          <c:order val="0"/>
          <c:spPr>
            <a:ln w="19050" cap="rnd">
              <a:solidFill>
                <a:schemeClr val="accent1"/>
              </a:solidFill>
              <a:round/>
            </a:ln>
            <a:effectLst/>
          </c:spPr>
          <c:marker>
            <c:symbol val="none"/>
          </c:marker>
          <c:xVal>
            <c:numRef>
              <c:f>図化!$C$2:$C$6</c:f>
              <c:numCache>
                <c:formatCode>General</c:formatCode>
                <c:ptCount val="5"/>
                <c:pt idx="0">
                  <c:v>-3.8149999999999996E-2</c:v>
                </c:pt>
                <c:pt idx="1">
                  <c:v>-3.8149999999999996E-2</c:v>
                </c:pt>
                <c:pt idx="2">
                  <c:v>3.8149999999999996E-2</c:v>
                </c:pt>
                <c:pt idx="3">
                  <c:v>3.8149999999999996E-2</c:v>
                </c:pt>
                <c:pt idx="4">
                  <c:v>-3.8149999999999996E-2</c:v>
                </c:pt>
              </c:numCache>
            </c:numRef>
          </c:xVal>
          <c:yVal>
            <c:numRef>
              <c:f>図化!$D$2:$D$6</c:f>
              <c:numCache>
                <c:formatCode>General</c:formatCode>
                <c:ptCount val="5"/>
                <c:pt idx="0" formatCode="0.00">
                  <c:v>-0.9</c:v>
                </c:pt>
                <c:pt idx="1">
                  <c:v>3.15</c:v>
                </c:pt>
                <c:pt idx="2">
                  <c:v>3.15</c:v>
                </c:pt>
                <c:pt idx="3">
                  <c:v>-0.9</c:v>
                </c:pt>
                <c:pt idx="4">
                  <c:v>-0.9</c:v>
                </c:pt>
              </c:numCache>
            </c:numRef>
          </c:yVal>
          <c:smooth val="0"/>
        </c:ser>
        <c:ser>
          <c:idx val="1"/>
          <c:order val="1"/>
          <c:spPr>
            <a:ln w="19050" cap="rnd">
              <a:solidFill>
                <a:schemeClr val="accent2"/>
              </a:solidFill>
              <a:round/>
            </a:ln>
            <a:effectLst/>
          </c:spPr>
          <c:marker>
            <c:symbol val="none"/>
          </c:marker>
          <c:xVal>
            <c:numRef>
              <c:f>図化!$C$7:$C$11</c:f>
              <c:numCache>
                <c:formatCode>General</c:formatCode>
                <c:ptCount val="5"/>
              </c:numCache>
            </c:numRef>
          </c:xVal>
          <c:yVal>
            <c:numRef>
              <c:f>図化!$D$7:$D$11</c:f>
              <c:numCache>
                <c:formatCode>General</c:formatCode>
                <c:ptCount val="5"/>
              </c:numCache>
            </c:numRef>
          </c:yVal>
          <c:smooth val="0"/>
        </c:ser>
        <c:ser>
          <c:idx val="2"/>
          <c:order val="2"/>
          <c:spPr>
            <a:ln w="19050" cap="rnd">
              <a:solidFill>
                <a:schemeClr val="accent3"/>
              </a:solidFill>
              <a:round/>
            </a:ln>
            <a:effectLst/>
          </c:spPr>
          <c:marker>
            <c:symbol val="none"/>
          </c:marker>
          <c:xVal>
            <c:numRef>
              <c:f>図化!$C$12:$C$16</c:f>
              <c:numCache>
                <c:formatCode>General</c:formatCode>
                <c:ptCount val="5"/>
                <c:pt idx="0">
                  <c:v>-0.25</c:v>
                </c:pt>
                <c:pt idx="1">
                  <c:v>-0.25</c:v>
                </c:pt>
                <c:pt idx="2">
                  <c:v>0.25</c:v>
                </c:pt>
                <c:pt idx="3">
                  <c:v>0.25</c:v>
                </c:pt>
                <c:pt idx="4">
                  <c:v>-0.25</c:v>
                </c:pt>
              </c:numCache>
            </c:numRef>
          </c:xVal>
          <c:yVal>
            <c:numRef>
              <c:f>図化!$D$12:$D$16</c:f>
              <c:numCache>
                <c:formatCode>General</c:formatCode>
                <c:ptCount val="5"/>
                <c:pt idx="0">
                  <c:v>1.8</c:v>
                </c:pt>
                <c:pt idx="1">
                  <c:v>3.3</c:v>
                </c:pt>
                <c:pt idx="2">
                  <c:v>3.3</c:v>
                </c:pt>
                <c:pt idx="3">
                  <c:v>1.8</c:v>
                </c:pt>
                <c:pt idx="4">
                  <c:v>1.8</c:v>
                </c:pt>
              </c:numCache>
            </c:numRef>
          </c:yVal>
          <c:smooth val="0"/>
        </c:ser>
        <c:ser>
          <c:idx val="3"/>
          <c:order val="3"/>
          <c:spPr>
            <a:ln w="19050" cap="rnd">
              <a:solidFill>
                <a:schemeClr val="accent4"/>
              </a:solidFill>
              <a:round/>
            </a:ln>
            <a:effectLst/>
          </c:spPr>
          <c:marker>
            <c:symbol val="none"/>
          </c:marker>
          <c:xVal>
            <c:numRef>
              <c:f>図化!$C$17:$C$21</c:f>
              <c:numCache>
                <c:formatCode>General</c:formatCode>
                <c:ptCount val="5"/>
                <c:pt idx="0">
                  <c:v>-0.3</c:v>
                </c:pt>
                <c:pt idx="1">
                  <c:v>-0.3</c:v>
                </c:pt>
                <c:pt idx="2">
                  <c:v>0.3</c:v>
                </c:pt>
                <c:pt idx="3">
                  <c:v>0.3</c:v>
                </c:pt>
                <c:pt idx="4">
                  <c:v>-0.3</c:v>
                </c:pt>
              </c:numCache>
            </c:numRef>
          </c:xVal>
          <c:yVal>
            <c:numRef>
              <c:f>図化!$D$17:$D$21</c:f>
              <c:numCache>
                <c:formatCode>General</c:formatCode>
                <c:ptCount val="5"/>
                <c:pt idx="0" formatCode="0.00">
                  <c:v>-0.9</c:v>
                </c:pt>
                <c:pt idx="1">
                  <c:v>0</c:v>
                </c:pt>
                <c:pt idx="2">
                  <c:v>0</c:v>
                </c:pt>
                <c:pt idx="3" formatCode="0.00">
                  <c:v>-0.9</c:v>
                </c:pt>
                <c:pt idx="4" formatCode="0.00">
                  <c:v>-0.9</c:v>
                </c:pt>
              </c:numCache>
            </c:numRef>
          </c:yVal>
          <c:smooth val="0"/>
        </c:ser>
        <c:dLbls>
          <c:showLegendKey val="0"/>
          <c:showVal val="0"/>
          <c:showCatName val="0"/>
          <c:showSerName val="0"/>
          <c:showPercent val="0"/>
          <c:showBubbleSize val="0"/>
        </c:dLbls>
        <c:axId val="238152320"/>
        <c:axId val="237969792"/>
      </c:scatterChart>
      <c:valAx>
        <c:axId val="238152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7969792"/>
        <c:crosses val="autoZero"/>
        <c:crossBetween val="midCat"/>
      </c:valAx>
      <c:valAx>
        <c:axId val="237969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1523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図化!$C$2:$C$6</c:f>
              <c:numCache>
                <c:formatCode>General</c:formatCode>
                <c:ptCount val="5"/>
                <c:pt idx="0">
                  <c:v>-3.8149999999999996E-2</c:v>
                </c:pt>
                <c:pt idx="1">
                  <c:v>-3.8149999999999996E-2</c:v>
                </c:pt>
                <c:pt idx="2">
                  <c:v>3.8149999999999996E-2</c:v>
                </c:pt>
                <c:pt idx="3">
                  <c:v>3.8149999999999996E-2</c:v>
                </c:pt>
                <c:pt idx="4">
                  <c:v>-3.8149999999999996E-2</c:v>
                </c:pt>
              </c:numCache>
            </c:numRef>
          </c:xVal>
          <c:yVal>
            <c:numRef>
              <c:f>図化!$D$2:$D$6</c:f>
              <c:numCache>
                <c:formatCode>General</c:formatCode>
                <c:ptCount val="5"/>
                <c:pt idx="0" formatCode="0.00">
                  <c:v>-0.9</c:v>
                </c:pt>
                <c:pt idx="1">
                  <c:v>3.15</c:v>
                </c:pt>
                <c:pt idx="2">
                  <c:v>3.15</c:v>
                </c:pt>
                <c:pt idx="3">
                  <c:v>-0.9</c:v>
                </c:pt>
                <c:pt idx="4">
                  <c:v>-0.9</c:v>
                </c:pt>
              </c:numCache>
            </c:numRef>
          </c:yVal>
          <c:smooth val="0"/>
        </c:ser>
        <c:ser>
          <c:idx val="1"/>
          <c:order val="1"/>
          <c:spPr>
            <a:ln w="19050" cap="rnd">
              <a:solidFill>
                <a:schemeClr val="accent2"/>
              </a:solidFill>
              <a:round/>
            </a:ln>
            <a:effectLst/>
          </c:spPr>
          <c:marker>
            <c:symbol val="none"/>
          </c:marker>
          <c:xVal>
            <c:numRef>
              <c:f>図化!$C$7:$C$11</c:f>
              <c:numCache>
                <c:formatCode>General</c:formatCode>
                <c:ptCount val="5"/>
              </c:numCache>
            </c:numRef>
          </c:xVal>
          <c:yVal>
            <c:numRef>
              <c:f>図化!$D$7:$D$11</c:f>
              <c:numCache>
                <c:formatCode>General</c:formatCode>
                <c:ptCount val="5"/>
              </c:numCache>
            </c:numRef>
          </c:yVal>
          <c:smooth val="0"/>
        </c:ser>
        <c:ser>
          <c:idx val="2"/>
          <c:order val="2"/>
          <c:spPr>
            <a:ln w="19050" cap="rnd">
              <a:solidFill>
                <a:schemeClr val="accent3"/>
              </a:solidFill>
              <a:round/>
            </a:ln>
            <a:effectLst/>
          </c:spPr>
          <c:marker>
            <c:symbol val="none"/>
          </c:marker>
          <c:xVal>
            <c:numRef>
              <c:f>図化!$C$12:$C$16</c:f>
              <c:numCache>
                <c:formatCode>General</c:formatCode>
                <c:ptCount val="5"/>
                <c:pt idx="0">
                  <c:v>-0.25</c:v>
                </c:pt>
                <c:pt idx="1">
                  <c:v>-0.25</c:v>
                </c:pt>
                <c:pt idx="2">
                  <c:v>0.25</c:v>
                </c:pt>
                <c:pt idx="3">
                  <c:v>0.25</c:v>
                </c:pt>
                <c:pt idx="4">
                  <c:v>-0.25</c:v>
                </c:pt>
              </c:numCache>
            </c:numRef>
          </c:xVal>
          <c:yVal>
            <c:numRef>
              <c:f>図化!$D$12:$D$16</c:f>
              <c:numCache>
                <c:formatCode>General</c:formatCode>
                <c:ptCount val="5"/>
                <c:pt idx="0">
                  <c:v>1.8</c:v>
                </c:pt>
                <c:pt idx="1">
                  <c:v>3.3</c:v>
                </c:pt>
                <c:pt idx="2">
                  <c:v>3.3</c:v>
                </c:pt>
                <c:pt idx="3">
                  <c:v>1.8</c:v>
                </c:pt>
                <c:pt idx="4">
                  <c:v>1.8</c:v>
                </c:pt>
              </c:numCache>
            </c:numRef>
          </c:yVal>
          <c:smooth val="0"/>
        </c:ser>
        <c:ser>
          <c:idx val="3"/>
          <c:order val="3"/>
          <c:spPr>
            <a:ln w="19050" cap="rnd">
              <a:solidFill>
                <a:schemeClr val="accent4"/>
              </a:solidFill>
              <a:round/>
            </a:ln>
            <a:effectLst/>
          </c:spPr>
          <c:marker>
            <c:symbol val="none"/>
          </c:marker>
          <c:xVal>
            <c:numRef>
              <c:f>図化!$C$17:$C$21</c:f>
              <c:numCache>
                <c:formatCode>General</c:formatCode>
                <c:ptCount val="5"/>
                <c:pt idx="0">
                  <c:v>-0.3</c:v>
                </c:pt>
                <c:pt idx="1">
                  <c:v>-0.3</c:v>
                </c:pt>
                <c:pt idx="2">
                  <c:v>0.3</c:v>
                </c:pt>
                <c:pt idx="3">
                  <c:v>0.3</c:v>
                </c:pt>
                <c:pt idx="4">
                  <c:v>-0.3</c:v>
                </c:pt>
              </c:numCache>
            </c:numRef>
          </c:xVal>
          <c:yVal>
            <c:numRef>
              <c:f>図化!$D$17:$D$21</c:f>
              <c:numCache>
                <c:formatCode>General</c:formatCode>
                <c:ptCount val="5"/>
                <c:pt idx="0" formatCode="0.00">
                  <c:v>-0.9</c:v>
                </c:pt>
                <c:pt idx="1">
                  <c:v>0</c:v>
                </c:pt>
                <c:pt idx="2">
                  <c:v>0</c:v>
                </c:pt>
                <c:pt idx="3" formatCode="0.00">
                  <c:v>-0.9</c:v>
                </c:pt>
                <c:pt idx="4" formatCode="0.00">
                  <c:v>-0.9</c:v>
                </c:pt>
              </c:numCache>
            </c:numRef>
          </c:yVal>
          <c:smooth val="0"/>
        </c:ser>
        <c:dLbls>
          <c:showLegendKey val="0"/>
          <c:showVal val="0"/>
          <c:showCatName val="0"/>
          <c:showSerName val="0"/>
          <c:showPercent val="0"/>
          <c:showBubbleSize val="0"/>
        </c:dLbls>
        <c:axId val="238037248"/>
        <c:axId val="238047232"/>
      </c:scatterChart>
      <c:valAx>
        <c:axId val="238037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047232"/>
        <c:crosses val="autoZero"/>
        <c:crossBetween val="midCat"/>
      </c:valAx>
      <c:valAx>
        <c:axId val="2380472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037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20</xdr:row>
      <xdr:rowOff>47625</xdr:rowOff>
    </xdr:from>
    <xdr:to>
      <xdr:col>12</xdr:col>
      <xdr:colOff>114300</xdr:colOff>
      <xdr:row>39</xdr:row>
      <xdr:rowOff>34365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3990975"/>
          <a:ext cx="5238750" cy="3244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104775</xdr:colOff>
      <xdr:row>0</xdr:row>
      <xdr:rowOff>142875</xdr:rowOff>
    </xdr:from>
    <xdr:to>
      <xdr:col>15</xdr:col>
      <xdr:colOff>400050</xdr:colOff>
      <xdr:row>32</xdr:row>
      <xdr:rowOff>152400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542925</xdr:colOff>
      <xdr:row>1</xdr:row>
      <xdr:rowOff>9525</xdr:rowOff>
    </xdr:from>
    <xdr:to>
      <xdr:col>11</xdr:col>
      <xdr:colOff>238125</xdr:colOff>
      <xdr:row>25</xdr:row>
      <xdr:rowOff>33803</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86275" y="180975"/>
          <a:ext cx="3810000" cy="4139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103</xdr:row>
      <xdr:rowOff>95251</xdr:rowOff>
    </xdr:from>
    <xdr:to>
      <xdr:col>6</xdr:col>
      <xdr:colOff>647700</xdr:colOff>
      <xdr:row>122</xdr:row>
      <xdr:rowOff>81991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5868651"/>
          <a:ext cx="5248275" cy="3244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85725</xdr:colOff>
      <xdr:row>17</xdr:row>
      <xdr:rowOff>161925</xdr:rowOff>
    </xdr:from>
    <xdr:to>
      <xdr:col>7</xdr:col>
      <xdr:colOff>176598</xdr:colOff>
      <xdr:row>37</xdr:row>
      <xdr:rowOff>76200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266699</xdr:colOff>
      <xdr:row>0</xdr:row>
      <xdr:rowOff>114300</xdr:rowOff>
    </xdr:from>
    <xdr:to>
      <xdr:col>8</xdr:col>
      <xdr:colOff>161925</xdr:colOff>
      <xdr:row>18</xdr:row>
      <xdr:rowOff>101466</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43374" y="114300"/>
          <a:ext cx="2828926" cy="3073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333376</xdr:colOff>
      <xdr:row>1</xdr:row>
      <xdr:rowOff>57149</xdr:rowOff>
    </xdr:from>
    <xdr:to>
      <xdr:col>10</xdr:col>
      <xdr:colOff>9526</xdr:colOff>
      <xdr:row>36</xdr:row>
      <xdr:rowOff>66674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showGridLines="0" tabSelected="1" zoomScaleNormal="100" workbookViewId="0">
      <selection activeCell="D17" sqref="D17"/>
    </sheetView>
  </sheetViews>
  <sheetFormatPr defaultRowHeight="13.5" x14ac:dyDescent="0.15"/>
  <cols>
    <col min="1" max="1" width="6.125" customWidth="1"/>
    <col min="2" max="2" width="18.625" customWidth="1"/>
  </cols>
  <sheetData>
    <row r="1" spans="1:5" x14ac:dyDescent="0.15">
      <c r="A1" t="s">
        <v>263</v>
      </c>
    </row>
    <row r="3" spans="1:5" x14ac:dyDescent="0.15">
      <c r="A3" t="s">
        <v>0</v>
      </c>
    </row>
    <row r="4" spans="1:5" x14ac:dyDescent="0.15">
      <c r="A4" t="s">
        <v>1</v>
      </c>
    </row>
    <row r="5" spans="1:5" x14ac:dyDescent="0.15">
      <c r="A5" t="s">
        <v>2</v>
      </c>
    </row>
    <row r="6" spans="1:5" x14ac:dyDescent="0.15">
      <c r="A6" t="s">
        <v>186</v>
      </c>
    </row>
    <row r="7" spans="1:5" x14ac:dyDescent="0.15">
      <c r="A7" t="s">
        <v>187</v>
      </c>
    </row>
    <row r="9" spans="1:5" x14ac:dyDescent="0.15">
      <c r="A9" t="s">
        <v>3</v>
      </c>
    </row>
    <row r="10" spans="1:5" x14ac:dyDescent="0.15">
      <c r="A10" t="s">
        <v>4</v>
      </c>
    </row>
    <row r="11" spans="1:5" x14ac:dyDescent="0.15">
      <c r="B11" s="1" t="s">
        <v>264</v>
      </c>
      <c r="C11" s="1" t="s">
        <v>47</v>
      </c>
      <c r="D11" s="2">
        <v>0.5</v>
      </c>
      <c r="E11" s="1" t="s">
        <v>46</v>
      </c>
    </row>
    <row r="12" spans="1:5" x14ac:dyDescent="0.15">
      <c r="B12" s="1" t="s">
        <v>265</v>
      </c>
      <c r="C12" s="1" t="s">
        <v>48</v>
      </c>
      <c r="D12" s="2">
        <v>1.5</v>
      </c>
      <c r="E12" s="1" t="s">
        <v>46</v>
      </c>
    </row>
    <row r="13" spans="1:5" x14ac:dyDescent="0.15">
      <c r="B13" s="1" t="s">
        <v>6</v>
      </c>
      <c r="C13" s="1" t="s">
        <v>49</v>
      </c>
      <c r="D13" s="2">
        <v>1.8</v>
      </c>
      <c r="E13" s="1" t="s">
        <v>46</v>
      </c>
    </row>
    <row r="15" spans="1:5" x14ac:dyDescent="0.15">
      <c r="B15" s="3" t="s">
        <v>7</v>
      </c>
      <c r="C15" s="3"/>
      <c r="D15" s="3"/>
      <c r="E15" s="3"/>
    </row>
    <row r="16" spans="1:5" x14ac:dyDescent="0.15">
      <c r="B16" s="3" t="s">
        <v>8</v>
      </c>
      <c r="C16" s="3" t="s">
        <v>155</v>
      </c>
      <c r="D16" s="4">
        <v>0.6</v>
      </c>
      <c r="E16" s="3" t="s">
        <v>9</v>
      </c>
    </row>
    <row r="17" spans="1:7" x14ac:dyDescent="0.15">
      <c r="B17" s="3" t="s">
        <v>12</v>
      </c>
      <c r="C17" s="3" t="s">
        <v>156</v>
      </c>
      <c r="D17" s="4">
        <v>0.6</v>
      </c>
      <c r="E17" s="3" t="s">
        <v>9</v>
      </c>
    </row>
    <row r="18" spans="1:7" x14ac:dyDescent="0.15">
      <c r="B18" s="3" t="s">
        <v>10</v>
      </c>
      <c r="C18" s="3" t="s">
        <v>11</v>
      </c>
      <c r="D18" s="4">
        <v>0.9</v>
      </c>
      <c r="E18" s="3" t="s">
        <v>9</v>
      </c>
    </row>
    <row r="19" spans="1:7" x14ac:dyDescent="0.15">
      <c r="B19" s="3" t="s">
        <v>173</v>
      </c>
      <c r="C19" s="3" t="s">
        <v>174</v>
      </c>
      <c r="D19" s="52">
        <f>計算!X133</f>
        <v>1.1136999999999999</v>
      </c>
      <c r="E19" s="3" t="s">
        <v>175</v>
      </c>
      <c r="F19" s="24">
        <f>ROUND(D19*180/PI(),1)</f>
        <v>63.8</v>
      </c>
      <c r="G19" s="28" t="s">
        <v>183</v>
      </c>
    </row>
    <row r="20" spans="1:7" x14ac:dyDescent="0.15">
      <c r="B20" s="28" t="s">
        <v>190</v>
      </c>
      <c r="D20" s="25">
        <f>計算!E179</f>
        <v>1.000000000000334E-3</v>
      </c>
      <c r="E20" t="str">
        <f>計算!B180</f>
        <v>よって、β=1.1137でほぼよい。</v>
      </c>
    </row>
    <row r="21" spans="1:7" x14ac:dyDescent="0.15">
      <c r="E21" s="28"/>
      <c r="F21" s="25"/>
    </row>
    <row r="22" spans="1:7" x14ac:dyDescent="0.15">
      <c r="A22" t="s">
        <v>13</v>
      </c>
    </row>
    <row r="23" spans="1:7" x14ac:dyDescent="0.15">
      <c r="B23" t="s">
        <v>15</v>
      </c>
      <c r="C23" t="s">
        <v>111</v>
      </c>
      <c r="D23" s="5">
        <v>76.3</v>
      </c>
      <c r="E23" t="s">
        <v>14</v>
      </c>
    </row>
    <row r="24" spans="1:7" x14ac:dyDescent="0.15">
      <c r="C24" t="s">
        <v>112</v>
      </c>
      <c r="D24" s="5">
        <v>2.8</v>
      </c>
      <c r="E24" t="s">
        <v>14</v>
      </c>
    </row>
    <row r="26" spans="1:7" x14ac:dyDescent="0.15">
      <c r="A26" t="s">
        <v>17</v>
      </c>
    </row>
    <row r="27" spans="1:7" x14ac:dyDescent="0.15">
      <c r="B27" t="s">
        <v>18</v>
      </c>
      <c r="D27" s="5">
        <v>40</v>
      </c>
      <c r="E27" t="s">
        <v>19</v>
      </c>
    </row>
    <row r="28" spans="1:7" x14ac:dyDescent="0.15">
      <c r="B28" t="s">
        <v>20</v>
      </c>
      <c r="C28" t="s">
        <v>21</v>
      </c>
      <c r="D28" s="5">
        <v>1.2</v>
      </c>
    </row>
    <row r="29" spans="1:7" x14ac:dyDescent="0.15">
      <c r="C29" t="s">
        <v>22</v>
      </c>
      <c r="D29" s="5">
        <v>0.7</v>
      </c>
    </row>
    <row r="31" spans="1:7" x14ac:dyDescent="0.15">
      <c r="A31" t="s">
        <v>23</v>
      </c>
    </row>
    <row r="32" spans="1:7" x14ac:dyDescent="0.15">
      <c r="B32" t="s">
        <v>24</v>
      </c>
      <c r="C32" t="s">
        <v>25</v>
      </c>
      <c r="D32" s="9">
        <v>23</v>
      </c>
      <c r="E32" t="s">
        <v>26</v>
      </c>
    </row>
    <row r="33" spans="1:6" x14ac:dyDescent="0.15">
      <c r="B33" t="s">
        <v>27</v>
      </c>
      <c r="C33" t="s">
        <v>28</v>
      </c>
      <c r="D33" s="9">
        <v>17</v>
      </c>
      <c r="E33" t="s">
        <v>26</v>
      </c>
    </row>
    <row r="34" spans="1:6" x14ac:dyDescent="0.15">
      <c r="B34" t="s">
        <v>29</v>
      </c>
      <c r="D34" s="5">
        <v>10</v>
      </c>
    </row>
    <row r="35" spans="1:6" x14ac:dyDescent="0.15">
      <c r="B35" t="s">
        <v>30</v>
      </c>
      <c r="C35" t="s">
        <v>31</v>
      </c>
      <c r="D35" s="10">
        <v>3.53</v>
      </c>
    </row>
    <row r="36" spans="1:6" x14ac:dyDescent="0.15">
      <c r="B36" t="s">
        <v>32</v>
      </c>
      <c r="D36" s="11">
        <v>100</v>
      </c>
      <c r="E36" t="s">
        <v>33</v>
      </c>
    </row>
    <row r="38" spans="1:6" x14ac:dyDescent="0.15">
      <c r="A38" t="s">
        <v>34</v>
      </c>
    </row>
    <row r="39" spans="1:6" x14ac:dyDescent="0.15">
      <c r="B39" t="s">
        <v>35</v>
      </c>
      <c r="D39" t="s">
        <v>36</v>
      </c>
      <c r="E39" t="s">
        <v>37</v>
      </c>
    </row>
    <row r="40" spans="1:6" x14ac:dyDescent="0.15">
      <c r="B40" t="s">
        <v>38</v>
      </c>
      <c r="D40" s="5">
        <v>156</v>
      </c>
      <c r="E40" s="7" t="s">
        <v>39</v>
      </c>
      <c r="F40" t="s">
        <v>40</v>
      </c>
    </row>
    <row r="41" spans="1:6" x14ac:dyDescent="0.15">
      <c r="B41" t="s">
        <v>41</v>
      </c>
      <c r="D41" s="5">
        <v>156</v>
      </c>
      <c r="E41" s="7" t="s">
        <v>42</v>
      </c>
      <c r="F41" t="s">
        <v>40</v>
      </c>
    </row>
    <row r="42" spans="1:6" x14ac:dyDescent="0.15">
      <c r="B42" t="s">
        <v>43</v>
      </c>
      <c r="D42" s="5">
        <v>156</v>
      </c>
      <c r="E42" s="7" t="s">
        <v>42</v>
      </c>
      <c r="F42" t="s">
        <v>40</v>
      </c>
    </row>
    <row r="43" spans="1:6" x14ac:dyDescent="0.15">
      <c r="B43" t="s">
        <v>44</v>
      </c>
      <c r="D43" s="5">
        <v>180</v>
      </c>
      <c r="E43" s="7" t="s">
        <v>42</v>
      </c>
      <c r="F43" t="s">
        <v>40</v>
      </c>
    </row>
    <row r="44" spans="1:6" x14ac:dyDescent="0.15">
      <c r="B44" t="s">
        <v>45</v>
      </c>
      <c r="D44" s="5">
        <v>90.4</v>
      </c>
      <c r="E44" s="7" t="s">
        <v>42</v>
      </c>
      <c r="F44" t="s">
        <v>40</v>
      </c>
    </row>
    <row r="45" spans="1:6" x14ac:dyDescent="0.15">
      <c r="B45" t="s">
        <v>215</v>
      </c>
      <c r="D45" s="41"/>
      <c r="E45" s="6"/>
    </row>
    <row r="46" spans="1:6" x14ac:dyDescent="0.15">
      <c r="B46" t="s">
        <v>216</v>
      </c>
      <c r="D46" s="5">
        <v>18</v>
      </c>
      <c r="E46" s="7"/>
      <c r="F46" t="s">
        <v>40</v>
      </c>
    </row>
    <row r="47" spans="1:6" x14ac:dyDescent="0.15">
      <c r="B47" t="s">
        <v>217</v>
      </c>
      <c r="D47" s="42">
        <f>IF(ROUND(D46*0.3,1)&gt;=6,6,ROUND(D46*0.3,1))</f>
        <v>5.4</v>
      </c>
      <c r="E47" s="7" t="s">
        <v>39</v>
      </c>
      <c r="F47" t="s">
        <v>40</v>
      </c>
    </row>
    <row r="49" spans="1:9" x14ac:dyDescent="0.15">
      <c r="A49" t="s">
        <v>208</v>
      </c>
    </row>
    <row r="50" spans="1:9" x14ac:dyDescent="0.15">
      <c r="B50" s="29" t="s">
        <v>212</v>
      </c>
      <c r="C50" s="31" t="s">
        <v>209</v>
      </c>
      <c r="D50" s="32"/>
      <c r="E50" s="32">
        <f>計算!E87</f>
        <v>206</v>
      </c>
      <c r="F50" s="32" t="s">
        <v>210</v>
      </c>
      <c r="G50" s="32"/>
      <c r="H50" s="32"/>
      <c r="I50" s="33"/>
    </row>
    <row r="51" spans="1:9" x14ac:dyDescent="0.15">
      <c r="B51" s="30"/>
      <c r="C51" s="34" t="s">
        <v>211</v>
      </c>
      <c r="D51" s="35"/>
      <c r="E51" s="35">
        <f>計算!D88</f>
        <v>0.88</v>
      </c>
      <c r="F51" s="35" t="str">
        <f>計算!E88</f>
        <v>&lt;</v>
      </c>
      <c r="G51" s="35">
        <f>計算!F88</f>
        <v>1</v>
      </c>
      <c r="H51" s="35" t="str">
        <f>計算!G88</f>
        <v>OK</v>
      </c>
      <c r="I51" s="36"/>
    </row>
    <row r="52" spans="1:9" x14ac:dyDescent="0.15">
      <c r="B52" s="37" t="s">
        <v>227</v>
      </c>
      <c r="C52" s="15" t="s">
        <v>228</v>
      </c>
      <c r="D52" s="6"/>
      <c r="E52" s="6">
        <f>計算!E96</f>
        <v>152</v>
      </c>
      <c r="F52" s="6" t="s">
        <v>224</v>
      </c>
      <c r="G52" s="6"/>
      <c r="H52" s="6"/>
      <c r="I52" s="16"/>
    </row>
    <row r="53" spans="1:9" x14ac:dyDescent="0.15">
      <c r="B53" s="37"/>
      <c r="C53" s="15" t="s">
        <v>226</v>
      </c>
      <c r="D53" s="6"/>
      <c r="E53" s="44">
        <f>D18*1000</f>
        <v>900</v>
      </c>
      <c r="F53" s="6" t="str">
        <f>計算!E99</f>
        <v>&gt;</v>
      </c>
      <c r="G53" s="6">
        <f>計算!F99</f>
        <v>152</v>
      </c>
      <c r="H53" s="6" t="str">
        <f>計算!G99</f>
        <v>OK</v>
      </c>
      <c r="I53" s="16"/>
    </row>
    <row r="54" spans="1:9" x14ac:dyDescent="0.15">
      <c r="B54" s="29" t="s">
        <v>213</v>
      </c>
      <c r="C54" s="31" t="str">
        <f>計算!B183</f>
        <v>h･θ≦2.4L・γ（Kp/Kh)　となることを確かめる。</v>
      </c>
      <c r="D54" s="32"/>
      <c r="E54" s="32"/>
      <c r="F54" s="32"/>
      <c r="G54" s="32"/>
      <c r="H54" s="32"/>
      <c r="I54" s="33"/>
    </row>
    <row r="55" spans="1:9" x14ac:dyDescent="0.15">
      <c r="B55" s="37"/>
      <c r="C55" s="15" t="str">
        <f>計算!B186</f>
        <v>h・θ=</v>
      </c>
      <c r="D55" s="6"/>
      <c r="E55" s="6">
        <f>計算!E186</f>
        <v>1.3940000000000001E-3</v>
      </c>
      <c r="F55" s="6"/>
      <c r="G55" s="6"/>
      <c r="H55" s="6"/>
      <c r="I55" s="16"/>
    </row>
    <row r="56" spans="1:9" x14ac:dyDescent="0.15">
      <c r="B56" s="30"/>
      <c r="C56" s="34" t="str">
        <f>計算!B188</f>
        <v>2.4・L・γ（Kp/Kh)=</v>
      </c>
      <c r="D56" s="35"/>
      <c r="E56" s="35">
        <f>計算!E188</f>
        <v>1.946E-3</v>
      </c>
      <c r="F56" s="35" t="str">
        <f>計算!F188</f>
        <v>≧</v>
      </c>
      <c r="G56" s="35" t="str">
        <f>計算!B186</f>
        <v>h・θ=</v>
      </c>
      <c r="H56" s="35">
        <f>計算!G188</f>
        <v>1.3940000000000001E-3</v>
      </c>
      <c r="I56" s="36" t="str">
        <f>計算!H188</f>
        <v>OK</v>
      </c>
    </row>
    <row r="57" spans="1:9" x14ac:dyDescent="0.15">
      <c r="B57" s="7" t="s">
        <v>214</v>
      </c>
      <c r="C57" s="38" t="str">
        <f>計算!B194</f>
        <v>Pmax/αk=</v>
      </c>
      <c r="D57" s="39"/>
      <c r="E57" s="39">
        <f>計算!E194</f>
        <v>13.409000000000001</v>
      </c>
      <c r="F57" s="39" t="str">
        <f>計算!F194</f>
        <v>&lt;Pa</v>
      </c>
      <c r="G57" s="39">
        <f>計算!G194</f>
        <v>18.722999999999999</v>
      </c>
      <c r="H57" s="39"/>
      <c r="I57" s="40" t="str">
        <f>計算!H194</f>
        <v>OK</v>
      </c>
    </row>
  </sheetData>
  <sheetProtection sheet="1" objects="1" scenarios="1"/>
  <phoneticPr fontId="2"/>
  <conditionalFormatting sqref="H51:H53">
    <cfRule type="cellIs" dxfId="7" priority="4" operator="equal">
      <formula>"OUT"</formula>
    </cfRule>
  </conditionalFormatting>
  <conditionalFormatting sqref="I56">
    <cfRule type="cellIs" dxfId="6" priority="3" operator="equal">
      <formula>"OUT"</formula>
    </cfRule>
  </conditionalFormatting>
  <conditionalFormatting sqref="I57">
    <cfRule type="cellIs" dxfId="5" priority="2" operator="equal">
      <formula>"OUT"</formula>
    </cfRule>
  </conditionalFormatting>
  <conditionalFormatting sqref="D20">
    <cfRule type="cellIs" dxfId="4" priority="1" operator="notBetween">
      <formula>-0.01</formula>
      <formula>0.01</formula>
    </cfRule>
  </conditionalFormatting>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02"/>
  <sheetViews>
    <sheetView showGridLines="0" zoomScaleNormal="100" workbookViewId="0">
      <selection activeCell="A206" sqref="A206"/>
    </sheetView>
  </sheetViews>
  <sheetFormatPr defaultRowHeight="13.5" x14ac:dyDescent="0.15"/>
  <cols>
    <col min="2" max="2" width="20.625" customWidth="1"/>
    <col min="3" max="3" width="10.875" customWidth="1"/>
    <col min="4" max="4" width="10.375" customWidth="1"/>
    <col min="5" max="8" width="9.625" customWidth="1"/>
    <col min="13" max="13" width="11.875" bestFit="1" customWidth="1"/>
    <col min="17" max="17" width="10.625" customWidth="1"/>
    <col min="21" max="21" width="12.75" bestFit="1" customWidth="1"/>
    <col min="22" max="22" width="13.875" bestFit="1" customWidth="1"/>
  </cols>
  <sheetData>
    <row r="1" spans="1:5" x14ac:dyDescent="0.15">
      <c r="A1" t="str">
        <f>条件!A1</f>
        <v>路側案内標識　設計計算（単柱式、直柱）Ver1.01</v>
      </c>
    </row>
    <row r="3" spans="1:5" x14ac:dyDescent="0.15">
      <c r="A3" t="str">
        <f>条件!A3</f>
        <v>道路標識設置基準・同解説（日本道路協会：昭和62年1月）</v>
      </c>
    </row>
    <row r="4" spans="1:5" x14ac:dyDescent="0.15">
      <c r="A4" t="str">
        <f>条件!A4</f>
        <v>道路標識設置要領・標準図集（建設省四国地方整備局：平成10年3月）</v>
      </c>
    </row>
    <row r="5" spans="1:5" x14ac:dyDescent="0.15">
      <c r="A5" t="str">
        <f>条件!A5</f>
        <v>道路標識ハンドブック（全国道路標識・表示業協会：2012年度）</v>
      </c>
    </row>
    <row r="6" spans="1:5" x14ac:dyDescent="0.15">
      <c r="A6" t="str">
        <f>条件!A6</f>
        <v>道路橋示方書・同解説　Ⅳ下部工編（日本道路協会　平成6年2月）</v>
      </c>
    </row>
    <row r="7" spans="1:5" x14ac:dyDescent="0.15">
      <c r="A7" t="str">
        <f>条件!A7</f>
        <v>道路橋示方書・同解説　Ⅳ下部工編（日本道路協会　平成24年3月）</v>
      </c>
    </row>
    <row r="9" spans="1:5" x14ac:dyDescent="0.15">
      <c r="A9" t="str">
        <f>条件!A9</f>
        <v>１．設計条件</v>
      </c>
    </row>
    <row r="10" spans="1:5" x14ac:dyDescent="0.15">
      <c r="A10" t="str">
        <f>条件!A10</f>
        <v>（ア）寸法</v>
      </c>
    </row>
    <row r="11" spans="1:5" x14ac:dyDescent="0.15">
      <c r="B11" t="str">
        <f>条件!B11</f>
        <v>案内標識板幅</v>
      </c>
      <c r="C11" t="str">
        <f>条件!C11</f>
        <v>Bh</v>
      </c>
      <c r="D11" s="25">
        <f>条件!D11</f>
        <v>0.5</v>
      </c>
      <c r="E11" t="str">
        <f>条件!E11</f>
        <v>m</v>
      </c>
    </row>
    <row r="12" spans="1:5" x14ac:dyDescent="0.15">
      <c r="B12" t="str">
        <f>条件!B12</f>
        <v>案内標識板高</v>
      </c>
      <c r="C12" t="str">
        <f>条件!C12</f>
        <v>Hh</v>
      </c>
      <c r="D12" s="25">
        <f>条件!D12</f>
        <v>1.5</v>
      </c>
      <c r="E12" t="str">
        <f>条件!E12</f>
        <v>m</v>
      </c>
    </row>
    <row r="13" spans="1:5" x14ac:dyDescent="0.15">
      <c r="B13" t="str">
        <f>条件!B13</f>
        <v>設置高（路面から）</v>
      </c>
      <c r="C13" t="str">
        <f>条件!C13</f>
        <v>h</v>
      </c>
      <c r="D13" s="25">
        <f>条件!D13</f>
        <v>1.8</v>
      </c>
      <c r="E13" t="str">
        <f>条件!E13</f>
        <v>m</v>
      </c>
    </row>
    <row r="15" spans="1:5" x14ac:dyDescent="0.15">
      <c r="B15" t="str">
        <f>条件!B15</f>
        <v>基礎</v>
      </c>
    </row>
    <row r="16" spans="1:5" x14ac:dyDescent="0.15">
      <c r="B16" t="str">
        <f>条件!B16</f>
        <v>基礎前面幅</v>
      </c>
      <c r="C16" t="str">
        <f>条件!C16</f>
        <v>Bk</v>
      </c>
      <c r="D16" s="25">
        <f>条件!D16</f>
        <v>0.6</v>
      </c>
      <c r="E16" t="str">
        <f>条件!E16</f>
        <v>m</v>
      </c>
    </row>
    <row r="17" spans="1:5" x14ac:dyDescent="0.15">
      <c r="B17" t="str">
        <f>条件!B17</f>
        <v>基礎側面幅</v>
      </c>
      <c r="C17" t="str">
        <f>条件!C17</f>
        <v>Lk</v>
      </c>
      <c r="D17" s="25">
        <f>条件!D17</f>
        <v>0.6</v>
      </c>
      <c r="E17" t="str">
        <f>条件!E17</f>
        <v>m</v>
      </c>
    </row>
    <row r="18" spans="1:5" x14ac:dyDescent="0.15">
      <c r="B18" t="str">
        <f>条件!B18</f>
        <v>基礎深さ</v>
      </c>
      <c r="C18" t="str">
        <f>条件!C18</f>
        <v>Dk</v>
      </c>
      <c r="D18" s="25">
        <f>条件!D18</f>
        <v>0.9</v>
      </c>
      <c r="E18" t="str">
        <f>条件!E18</f>
        <v>m</v>
      </c>
    </row>
    <row r="19" spans="1:5" x14ac:dyDescent="0.15">
      <c r="B19" t="str">
        <f>条件!B19</f>
        <v>βの仮定値</v>
      </c>
      <c r="C19" t="str">
        <f>条件!C19</f>
        <v>β</v>
      </c>
      <c r="D19" s="47">
        <f>X133</f>
        <v>1.1136999999999999</v>
      </c>
      <c r="E19" t="str">
        <f>条件!E19</f>
        <v>rad</v>
      </c>
    </row>
    <row r="21" spans="1:5" x14ac:dyDescent="0.15">
      <c r="A21" t="str">
        <f>条件!A22</f>
        <v>（イ）使用部材</v>
      </c>
    </row>
    <row r="22" spans="1:5" x14ac:dyDescent="0.15">
      <c r="B22" t="str">
        <f>条件!B23</f>
        <v>柱主材(STK)</v>
      </c>
      <c r="C22" t="str">
        <f>条件!C23</f>
        <v>径φ</v>
      </c>
      <c r="D22">
        <f>条件!D23</f>
        <v>76.3</v>
      </c>
      <c r="E22" t="str">
        <f>条件!E23</f>
        <v>mm</v>
      </c>
    </row>
    <row r="23" spans="1:5" x14ac:dyDescent="0.15">
      <c r="C23" t="str">
        <f>条件!C24</f>
        <v>肉厚t</v>
      </c>
      <c r="D23">
        <f>条件!D24</f>
        <v>2.8</v>
      </c>
      <c r="E23" t="str">
        <f>条件!E24</f>
        <v>mm</v>
      </c>
    </row>
    <row r="25" spans="1:5" x14ac:dyDescent="0.15">
      <c r="A25" t="str">
        <f>条件!A26</f>
        <v>（オ）荷重条件</v>
      </c>
    </row>
    <row r="26" spans="1:5" x14ac:dyDescent="0.15">
      <c r="B26" t="str">
        <f>条件!B27</f>
        <v>設計風速</v>
      </c>
      <c r="D26">
        <f>条件!D27</f>
        <v>40</v>
      </c>
      <c r="E26" t="str">
        <f>条件!E27</f>
        <v>m/s</v>
      </c>
    </row>
    <row r="27" spans="1:5" x14ac:dyDescent="0.15">
      <c r="B27" t="str">
        <f>条件!B28</f>
        <v>風力係数 Cd</v>
      </c>
      <c r="C27" t="str">
        <f>条件!C28</f>
        <v>標識板</v>
      </c>
      <c r="D27">
        <f>条件!D28</f>
        <v>1.2</v>
      </c>
    </row>
    <row r="28" spans="1:5" x14ac:dyDescent="0.15">
      <c r="C28" t="str">
        <f>条件!C29</f>
        <v>支柱類</v>
      </c>
      <c r="D28">
        <f>条件!D29</f>
        <v>0.7</v>
      </c>
    </row>
    <row r="30" spans="1:5" x14ac:dyDescent="0.15">
      <c r="A30" t="str">
        <f>条件!A31</f>
        <v>（カ）基礎条件等</v>
      </c>
    </row>
    <row r="31" spans="1:5" x14ac:dyDescent="0.15">
      <c r="B31" t="str">
        <f>条件!B32</f>
        <v>コンクリート単位重量</v>
      </c>
      <c r="C31" t="str">
        <f>条件!C32</f>
        <v>γc</v>
      </c>
      <c r="D31">
        <f>条件!D32</f>
        <v>23</v>
      </c>
      <c r="E31" t="str">
        <f>条件!E32</f>
        <v>kN/m3</v>
      </c>
    </row>
    <row r="32" spans="1:5" x14ac:dyDescent="0.15">
      <c r="B32" t="str">
        <f>条件!B33</f>
        <v>土の単位重量</v>
      </c>
      <c r="C32" t="str">
        <f>条件!C33</f>
        <v>γ</v>
      </c>
      <c r="D32">
        <f>条件!D33</f>
        <v>17</v>
      </c>
      <c r="E32" t="str">
        <f>条件!E33</f>
        <v>kN/m3</v>
      </c>
    </row>
    <row r="33" spans="1:6" x14ac:dyDescent="0.15">
      <c r="B33" t="str">
        <f>条件!B34</f>
        <v>N値</v>
      </c>
      <c r="D33">
        <f>条件!D34</f>
        <v>10</v>
      </c>
    </row>
    <row r="34" spans="1:6" x14ac:dyDescent="0.15">
      <c r="B34" t="str">
        <f>条件!B35</f>
        <v>受働土圧係数</v>
      </c>
      <c r="C34" t="str">
        <f>条件!C35</f>
        <v>Kp</v>
      </c>
      <c r="D34">
        <f>条件!D35</f>
        <v>3.53</v>
      </c>
    </row>
    <row r="35" spans="1:6" x14ac:dyDescent="0.15">
      <c r="B35" t="str">
        <f>条件!B36</f>
        <v>地盤反力短期</v>
      </c>
      <c r="D35">
        <f>条件!D36</f>
        <v>100</v>
      </c>
      <c r="E35" t="str">
        <f>条件!E36</f>
        <v>kN/㎡</v>
      </c>
    </row>
    <row r="37" spans="1:6" x14ac:dyDescent="0.15">
      <c r="A37" t="str">
        <f>条件!A38</f>
        <v>（キ）材料の許容応力度</v>
      </c>
    </row>
    <row r="38" spans="1:6" x14ac:dyDescent="0.15">
      <c r="B38" t="str">
        <f>条件!B39</f>
        <v>鋼材(SS400,STK400)</v>
      </c>
      <c r="D38" t="str">
        <f>条件!D39</f>
        <v>長期</v>
      </c>
      <c r="E38" t="str">
        <f>条件!E39</f>
        <v>短期</v>
      </c>
    </row>
    <row r="39" spans="1:6" x14ac:dyDescent="0.15">
      <c r="B39" t="str">
        <f>条件!B40</f>
        <v>　引張応力度</v>
      </c>
      <c r="D39">
        <f>条件!D40</f>
        <v>156</v>
      </c>
      <c r="E39" t="str">
        <f>条件!E40</f>
        <v>長期×1.5</v>
      </c>
      <c r="F39" t="str">
        <f>条件!F40</f>
        <v>N/mm2</v>
      </c>
    </row>
    <row r="40" spans="1:6" x14ac:dyDescent="0.15">
      <c r="B40" t="str">
        <f>条件!B41</f>
        <v>　圧縮応力度</v>
      </c>
      <c r="D40">
        <f>条件!D41</f>
        <v>156</v>
      </c>
      <c r="E40" t="str">
        <f>条件!E41</f>
        <v>〃</v>
      </c>
      <c r="F40" t="str">
        <f>条件!F41</f>
        <v>N/mm2</v>
      </c>
    </row>
    <row r="41" spans="1:6" x14ac:dyDescent="0.15">
      <c r="B41" t="str">
        <f>条件!B42</f>
        <v>　曲げ応力度</v>
      </c>
      <c r="D41">
        <f>条件!D42</f>
        <v>156</v>
      </c>
      <c r="E41" t="str">
        <f>条件!E42</f>
        <v>〃</v>
      </c>
      <c r="F41" t="str">
        <f>条件!F42</f>
        <v>N/mm2</v>
      </c>
    </row>
    <row r="42" spans="1:6" x14ac:dyDescent="0.15">
      <c r="B42" t="str">
        <f>条件!B43</f>
        <v xml:space="preserve"> 面外許容曲げ応力度</v>
      </c>
      <c r="D42">
        <f>条件!D43</f>
        <v>180</v>
      </c>
      <c r="E42" t="str">
        <f>条件!E43</f>
        <v>〃</v>
      </c>
      <c r="F42" t="str">
        <f>条件!F43</f>
        <v>N/mm2</v>
      </c>
    </row>
    <row r="43" spans="1:6" x14ac:dyDescent="0.15">
      <c r="B43" t="str">
        <f>条件!B44</f>
        <v>　せん断応力度</v>
      </c>
      <c r="D43">
        <f>条件!D44</f>
        <v>90.4</v>
      </c>
      <c r="E43" t="str">
        <f>条件!E44</f>
        <v>〃</v>
      </c>
      <c r="F43" t="str">
        <f>条件!F44</f>
        <v>N/mm2</v>
      </c>
    </row>
    <row r="44" spans="1:6" x14ac:dyDescent="0.15">
      <c r="B44" t="str">
        <f>条件!B45</f>
        <v>コンクリート</v>
      </c>
    </row>
    <row r="45" spans="1:6" x14ac:dyDescent="0.15">
      <c r="B45" t="str">
        <f>条件!B46</f>
        <v>　設計基準強度</v>
      </c>
      <c r="D45">
        <f>条件!D46</f>
        <v>18</v>
      </c>
      <c r="F45" t="str">
        <f>条件!F46</f>
        <v>N/mm2</v>
      </c>
    </row>
    <row r="46" spans="1:6" x14ac:dyDescent="0.15">
      <c r="B46" t="str">
        <f>条件!B47</f>
        <v>　支圧応力度</v>
      </c>
      <c r="D46">
        <f>条件!D47</f>
        <v>5.4</v>
      </c>
      <c r="E46" t="str">
        <f>条件!E47</f>
        <v>長期×1.5</v>
      </c>
      <c r="F46" t="str">
        <f>条件!F47</f>
        <v>N/mm2</v>
      </c>
    </row>
    <row r="48" spans="1:6" x14ac:dyDescent="0.15">
      <c r="A48" t="s">
        <v>55</v>
      </c>
    </row>
    <row r="49" spans="1:37" x14ac:dyDescent="0.15">
      <c r="A49" t="s">
        <v>56</v>
      </c>
    </row>
    <row r="50" spans="1:37" x14ac:dyDescent="0.15">
      <c r="B50" s="7"/>
      <c r="C50" s="7" t="s">
        <v>57</v>
      </c>
      <c r="D50" s="7" t="s">
        <v>58</v>
      </c>
      <c r="E50" s="54" t="s">
        <v>59</v>
      </c>
      <c r="F50" s="55"/>
      <c r="G50" s="55"/>
      <c r="H50" s="56"/>
      <c r="I50" s="12"/>
      <c r="J50" s="13"/>
      <c r="K50" s="13"/>
    </row>
    <row r="51" spans="1:37" x14ac:dyDescent="0.15">
      <c r="B51" s="7" t="s">
        <v>60</v>
      </c>
      <c r="C51" s="7" t="s">
        <v>61</v>
      </c>
      <c r="D51" s="7" t="s">
        <v>62</v>
      </c>
      <c r="E51" s="7" t="s">
        <v>63</v>
      </c>
      <c r="F51" s="7" t="s">
        <v>64</v>
      </c>
      <c r="G51" s="7" t="s">
        <v>65</v>
      </c>
      <c r="H51" s="7" t="s">
        <v>66</v>
      </c>
      <c r="I51" s="14"/>
      <c r="J51" s="15"/>
      <c r="K51" s="16"/>
      <c r="L51" s="8" t="s">
        <v>67</v>
      </c>
      <c r="M51" s="8" t="s">
        <v>68</v>
      </c>
      <c r="N51" s="7" t="s">
        <v>69</v>
      </c>
      <c r="O51" s="7" t="s">
        <v>70</v>
      </c>
      <c r="P51" s="7" t="s">
        <v>71</v>
      </c>
      <c r="Q51" s="7" t="s">
        <v>72</v>
      </c>
      <c r="R51" s="17" t="s">
        <v>73</v>
      </c>
      <c r="S51" s="17"/>
      <c r="T51" s="17"/>
      <c r="U51" s="17"/>
      <c r="V51" s="17"/>
      <c r="W51" s="7" t="s">
        <v>74</v>
      </c>
      <c r="X51" s="7"/>
      <c r="Y51" s="7"/>
      <c r="Z51" s="7"/>
      <c r="AA51" s="7"/>
      <c r="AB51" s="18" t="s">
        <v>75</v>
      </c>
      <c r="AC51" s="18"/>
      <c r="AD51" s="18"/>
      <c r="AE51" s="18"/>
      <c r="AF51" s="18"/>
      <c r="AG51" s="7" t="s">
        <v>76</v>
      </c>
      <c r="AH51" s="7"/>
      <c r="AI51" s="7"/>
      <c r="AJ51" s="7"/>
      <c r="AK51" s="7"/>
    </row>
    <row r="52" spans="1:37" x14ac:dyDescent="0.15">
      <c r="A52" s="19" t="s">
        <v>77</v>
      </c>
      <c r="B52" s="7" t="str">
        <f>"STK-"&amp;D22&amp;"×"&amp;D23</f>
        <v>STK-76.3×2.8</v>
      </c>
      <c r="C52" s="7">
        <f>ROUND(数値表!F2*D52*100,1)</f>
        <v>49819</v>
      </c>
      <c r="D52" s="20">
        <f>ROUND((D22^2-(D22-D23*2)^2)*PI()/4/100,2)</f>
        <v>6.47</v>
      </c>
      <c r="E52" s="7">
        <f>V52</f>
        <v>4.3999999999999995</v>
      </c>
      <c r="F52" s="7">
        <f>AA52</f>
        <v>11.4</v>
      </c>
      <c r="G52" s="7">
        <f>AF52</f>
        <v>2.6</v>
      </c>
      <c r="H52" s="7">
        <f>AK52</f>
        <v>8.6999999999999993</v>
      </c>
      <c r="I52" s="21"/>
      <c r="J52" s="6"/>
      <c r="K52" s="6"/>
      <c r="L52" s="7">
        <f>D22/10</f>
        <v>7.63</v>
      </c>
      <c r="M52" s="7">
        <f>(D22-D23*2)/10</f>
        <v>7.07</v>
      </c>
      <c r="N52" s="7">
        <f>ROUND((L52^4-M52^4)*PI()/64,0)</f>
        <v>44</v>
      </c>
      <c r="O52" s="7">
        <f>ROUND((L52^4-M52^4)*PI()/32/L52,2)</f>
        <v>11.46</v>
      </c>
      <c r="P52" s="7">
        <f>ROUND(SQRT((L52^2+M52^2))/4,2)</f>
        <v>2.6</v>
      </c>
      <c r="Q52" s="7">
        <f>ROUND((L52^4-M52^4)*PI()/32,0)</f>
        <v>87</v>
      </c>
      <c r="R52" s="22">
        <f>LEN(INT(N52))</f>
        <v>2</v>
      </c>
      <c r="S52" s="22" t="str">
        <f>LEFT(N52,3)</f>
        <v>44</v>
      </c>
      <c r="T52" s="22">
        <f>VALUE(S52)/1000</f>
        <v>4.3999999999999997E-2</v>
      </c>
      <c r="U52" s="22">
        <f>POWER(10,R52)</f>
        <v>100</v>
      </c>
      <c r="V52" s="22">
        <f>T52*U52</f>
        <v>4.3999999999999995</v>
      </c>
      <c r="W52" s="7">
        <f>LEN(INT(O52))</f>
        <v>2</v>
      </c>
      <c r="X52" s="7" t="str">
        <f>LEFT(O52*1000,3)</f>
        <v>114</v>
      </c>
      <c r="Y52" s="7">
        <f>VALUE(X52)/1000</f>
        <v>0.114</v>
      </c>
      <c r="Z52" s="7">
        <f>POWER(10,W52)</f>
        <v>100</v>
      </c>
      <c r="AA52" s="7">
        <f>Y52*Z52</f>
        <v>11.4</v>
      </c>
      <c r="AB52" s="18">
        <f>LEN(INT(P52))</f>
        <v>1</v>
      </c>
      <c r="AC52" s="18" t="str">
        <f>LEFT(P52*1000,3)</f>
        <v>260</v>
      </c>
      <c r="AD52" s="18">
        <f>VALUE(AC52)/1000</f>
        <v>0.26</v>
      </c>
      <c r="AE52" s="18">
        <f>POWER(10,AB52)</f>
        <v>10</v>
      </c>
      <c r="AF52" s="18">
        <f>AD52*AE52</f>
        <v>2.6</v>
      </c>
      <c r="AG52" s="7">
        <f>LEN(INT(Q52))</f>
        <v>2</v>
      </c>
      <c r="AH52" s="7" t="str">
        <f>LEFT(Q52,3)</f>
        <v>87</v>
      </c>
      <c r="AI52" s="7">
        <f>VALUE(AH52)/1000</f>
        <v>8.6999999999999994E-2</v>
      </c>
      <c r="AJ52" s="7">
        <f>POWER(10,AG52)</f>
        <v>100</v>
      </c>
      <c r="AK52" s="7">
        <f>AI52*AJ52</f>
        <v>8.6999999999999993</v>
      </c>
    </row>
    <row r="53" spans="1:37" x14ac:dyDescent="0.15">
      <c r="B53" t="s">
        <v>79</v>
      </c>
      <c r="I53" s="23"/>
    </row>
    <row r="55" spans="1:37" x14ac:dyDescent="0.15">
      <c r="A55" t="s">
        <v>101</v>
      </c>
    </row>
    <row r="56" spans="1:37" x14ac:dyDescent="0.15">
      <c r="B56" t="s">
        <v>102</v>
      </c>
    </row>
    <row r="57" spans="1:37" x14ac:dyDescent="0.15">
      <c r="B57" t="s">
        <v>103</v>
      </c>
      <c r="C57" t="s">
        <v>104</v>
      </c>
      <c r="E57">
        <f>ROUND(D60^2*D62*D61/2,0)</f>
        <v>1181</v>
      </c>
      <c r="F57" t="s">
        <v>105</v>
      </c>
      <c r="I57" s="23"/>
    </row>
    <row r="58" spans="1:37" x14ac:dyDescent="0.15">
      <c r="B58" t="s">
        <v>106</v>
      </c>
      <c r="C58" t="s">
        <v>107</v>
      </c>
      <c r="E58">
        <f>ROUND(D60^2*D63*D61/2,0)</f>
        <v>689</v>
      </c>
      <c r="F58" t="s">
        <v>105</v>
      </c>
      <c r="I58" s="23"/>
    </row>
    <row r="59" spans="1:37" x14ac:dyDescent="0.15">
      <c r="B59" t="s">
        <v>108</v>
      </c>
      <c r="I59" s="23"/>
    </row>
    <row r="60" spans="1:37" x14ac:dyDescent="0.15">
      <c r="B60" t="str">
        <f>B26</f>
        <v>設計風速</v>
      </c>
      <c r="D60">
        <f>D26</f>
        <v>40</v>
      </c>
      <c r="E60" t="str">
        <f>E26</f>
        <v>m/s</v>
      </c>
      <c r="I60" s="23"/>
    </row>
    <row r="61" spans="1:37" x14ac:dyDescent="0.15">
      <c r="B61" t="s">
        <v>83</v>
      </c>
      <c r="C61" t="s">
        <v>109</v>
      </c>
      <c r="D61">
        <f>数値表!J2</f>
        <v>1.23</v>
      </c>
      <c r="E61" t="s">
        <v>86</v>
      </c>
      <c r="I61" s="23"/>
    </row>
    <row r="62" spans="1:37" x14ac:dyDescent="0.15">
      <c r="B62" t="str">
        <f>B27</f>
        <v>風力係数 Cd</v>
      </c>
      <c r="C62" t="str">
        <f>C27</f>
        <v>標識板</v>
      </c>
      <c r="D62">
        <f>D27</f>
        <v>1.2</v>
      </c>
      <c r="I62" s="23"/>
    </row>
    <row r="63" spans="1:37" x14ac:dyDescent="0.15">
      <c r="C63" t="str">
        <f>C28</f>
        <v>支柱類</v>
      </c>
      <c r="D63">
        <f>D28</f>
        <v>0.7</v>
      </c>
      <c r="I63" s="23"/>
    </row>
    <row r="65" spans="1:6" x14ac:dyDescent="0.15">
      <c r="A65" t="s">
        <v>50</v>
      </c>
    </row>
    <row r="66" spans="1:6" x14ac:dyDescent="0.15">
      <c r="B66" t="s">
        <v>51</v>
      </c>
    </row>
    <row r="67" spans="1:6" x14ac:dyDescent="0.15">
      <c r="B67" t="s">
        <v>52</v>
      </c>
    </row>
    <row r="68" spans="1:6" x14ac:dyDescent="0.15">
      <c r="B68" t="s">
        <v>53</v>
      </c>
    </row>
    <row r="69" spans="1:6" x14ac:dyDescent="0.15">
      <c r="B69" t="s">
        <v>54</v>
      </c>
    </row>
    <row r="70" spans="1:6" x14ac:dyDescent="0.15">
      <c r="B70" t="s">
        <v>269</v>
      </c>
      <c r="C70" t="s">
        <v>267</v>
      </c>
      <c r="E70">
        <f>ROUND(E57*D11*D12,1)</f>
        <v>885.8</v>
      </c>
      <c r="F70" t="s">
        <v>113</v>
      </c>
    </row>
    <row r="71" spans="1:6" x14ac:dyDescent="0.15">
      <c r="B71" t="s">
        <v>78</v>
      </c>
      <c r="C71" t="s">
        <v>268</v>
      </c>
      <c r="E71" s="24">
        <f>ROUND(E58*D22/1000*D13,1)</f>
        <v>94.6</v>
      </c>
      <c r="F71" t="s">
        <v>113</v>
      </c>
    </row>
    <row r="72" spans="1:6" x14ac:dyDescent="0.15">
      <c r="B72" t="s">
        <v>114</v>
      </c>
      <c r="E72">
        <f>SUM(E70:E71)</f>
        <v>980.4</v>
      </c>
      <c r="F72" t="s">
        <v>113</v>
      </c>
    </row>
    <row r="74" spans="1:6" x14ac:dyDescent="0.15">
      <c r="B74" t="s">
        <v>120</v>
      </c>
    </row>
    <row r="75" spans="1:6" x14ac:dyDescent="0.15">
      <c r="B75" t="s">
        <v>121</v>
      </c>
    </row>
    <row r="76" spans="1:6" x14ac:dyDescent="0.15">
      <c r="B76" t="s">
        <v>115</v>
      </c>
    </row>
    <row r="77" spans="1:6" x14ac:dyDescent="0.15">
      <c r="B77" t="s">
        <v>266</v>
      </c>
      <c r="E77">
        <f>ROUND(E70*E79+E71*E80,0)</f>
        <v>2344</v>
      </c>
      <c r="F77" t="s">
        <v>118</v>
      </c>
    </row>
    <row r="78" spans="1:6" x14ac:dyDescent="0.15">
      <c r="B78" t="s">
        <v>119</v>
      </c>
    </row>
    <row r="79" spans="1:6" x14ac:dyDescent="0.15">
      <c r="C79" t="s">
        <v>116</v>
      </c>
      <c r="E79" s="25">
        <f>ROUND(D12/2+D13,3)</f>
        <v>2.5499999999999998</v>
      </c>
      <c r="F79" t="s">
        <v>5</v>
      </c>
    </row>
    <row r="80" spans="1:6" x14ac:dyDescent="0.15">
      <c r="C80" t="s">
        <v>117</v>
      </c>
      <c r="E80" s="25">
        <f>ROUND(D13/2,3)</f>
        <v>0.9</v>
      </c>
      <c r="F80" t="s">
        <v>5</v>
      </c>
    </row>
    <row r="82" spans="2:11" x14ac:dyDescent="0.15">
      <c r="B82" t="s">
        <v>122</v>
      </c>
      <c r="C82" t="s">
        <v>123</v>
      </c>
      <c r="E82">
        <f>E72</f>
        <v>980.4</v>
      </c>
      <c r="F82" t="s">
        <v>113</v>
      </c>
    </row>
    <row r="84" spans="2:11" x14ac:dyDescent="0.15">
      <c r="B84" t="s">
        <v>124</v>
      </c>
    </row>
    <row r="85" spans="2:11" x14ac:dyDescent="0.15">
      <c r="B85" t="s">
        <v>125</v>
      </c>
    </row>
    <row r="86" spans="2:11" x14ac:dyDescent="0.15">
      <c r="B86" t="s">
        <v>126</v>
      </c>
    </row>
    <row r="87" spans="2:11" x14ac:dyDescent="0.15">
      <c r="B87" t="s">
        <v>127</v>
      </c>
      <c r="E87">
        <f>ROUND(K87/K88,0)</f>
        <v>206</v>
      </c>
      <c r="F87" t="s">
        <v>128</v>
      </c>
      <c r="J87" t="s">
        <v>129</v>
      </c>
      <c r="K87">
        <f>E77*1000</f>
        <v>2344000</v>
      </c>
    </row>
    <row r="88" spans="2:11" x14ac:dyDescent="0.15">
      <c r="B88" t="s">
        <v>131</v>
      </c>
      <c r="D88">
        <f>ROUND(E87/K89,2)</f>
        <v>0.88</v>
      </c>
      <c r="E88" t="str">
        <f>IF(D88&lt;F88,"&lt;","&gt;")</f>
        <v>&lt;</v>
      </c>
      <c r="F88">
        <v>1</v>
      </c>
      <c r="G88" t="str">
        <f>IF(D88&lt;F88,"OK","OUT")</f>
        <v>OK</v>
      </c>
      <c r="J88" t="s">
        <v>130</v>
      </c>
      <c r="K88">
        <f>F52*1000</f>
        <v>11400</v>
      </c>
    </row>
    <row r="89" spans="2:11" x14ac:dyDescent="0.15">
      <c r="J89" t="s">
        <v>132</v>
      </c>
      <c r="K89">
        <f>ROUND(D41*1.5,0)</f>
        <v>234</v>
      </c>
    </row>
    <row r="90" spans="2:11" x14ac:dyDescent="0.15">
      <c r="B90" t="s">
        <v>133</v>
      </c>
    </row>
    <row r="91" spans="2:11" x14ac:dyDescent="0.15">
      <c r="B91" t="s">
        <v>134</v>
      </c>
    </row>
    <row r="93" spans="2:11" x14ac:dyDescent="0.15">
      <c r="B93" t="s">
        <v>218</v>
      </c>
    </row>
    <row r="94" spans="2:11" x14ac:dyDescent="0.15">
      <c r="B94" t="s">
        <v>225</v>
      </c>
    </row>
    <row r="96" spans="2:11" x14ac:dyDescent="0.15">
      <c r="B96" t="s">
        <v>223</v>
      </c>
      <c r="E96">
        <f>ROUND((E72+SQRT(E72^2+24*E97*D22*E77*1000))/(2*E97*D22),0)</f>
        <v>152</v>
      </c>
      <c r="F96" t="s">
        <v>224</v>
      </c>
    </row>
    <row r="97" spans="1:7" x14ac:dyDescent="0.15">
      <c r="B97" t="s">
        <v>219</v>
      </c>
      <c r="C97" t="s">
        <v>221</v>
      </c>
      <c r="E97">
        <f>ROUND(条件!D47*1.5,1)</f>
        <v>8.1</v>
      </c>
      <c r="F97" t="s">
        <v>220</v>
      </c>
      <c r="G97" t="s">
        <v>222</v>
      </c>
    </row>
    <row r="99" spans="1:7" x14ac:dyDescent="0.15">
      <c r="B99" t="s">
        <v>226</v>
      </c>
      <c r="C99" s="43">
        <f>計算!D18*1000</f>
        <v>900</v>
      </c>
      <c r="D99" t="s">
        <v>224</v>
      </c>
      <c r="E99" t="str">
        <f>IF(D99&lt;F99,"&lt;","&gt;")</f>
        <v>&gt;</v>
      </c>
      <c r="F99">
        <f>E96</f>
        <v>152</v>
      </c>
      <c r="G99" t="str">
        <f>IF(D99&gt;F99,"OK","OUT")</f>
        <v>OK</v>
      </c>
    </row>
    <row r="102" spans="1:7" x14ac:dyDescent="0.15">
      <c r="A102" t="s">
        <v>135</v>
      </c>
    </row>
    <row r="103" spans="1:7" x14ac:dyDescent="0.15">
      <c r="B103" t="s">
        <v>136</v>
      </c>
    </row>
    <row r="124" spans="2:14" x14ac:dyDescent="0.15">
      <c r="B124" t="s">
        <v>137</v>
      </c>
      <c r="M124" s="7" t="s">
        <v>229</v>
      </c>
      <c r="N124" s="45">
        <f>E126</f>
        <v>0.6</v>
      </c>
    </row>
    <row r="125" spans="2:14" x14ac:dyDescent="0.15">
      <c r="C125" t="s">
        <v>138</v>
      </c>
      <c r="E125" s="25">
        <f>D16</f>
        <v>0.6</v>
      </c>
      <c r="F125" t="s">
        <v>5</v>
      </c>
      <c r="M125" s="7" t="s">
        <v>230</v>
      </c>
      <c r="N125" s="7">
        <f>N124/2</f>
        <v>0.3</v>
      </c>
    </row>
    <row r="126" spans="2:14" x14ac:dyDescent="0.15">
      <c r="C126" t="s">
        <v>139</v>
      </c>
      <c r="E126" s="25">
        <f>D17</f>
        <v>0.6</v>
      </c>
      <c r="F126" t="s">
        <v>5</v>
      </c>
      <c r="M126" s="7" t="s">
        <v>231</v>
      </c>
      <c r="N126" s="45">
        <f>E125</f>
        <v>0.6</v>
      </c>
    </row>
    <row r="127" spans="2:14" x14ac:dyDescent="0.15">
      <c r="C127" t="s">
        <v>140</v>
      </c>
      <c r="E127" s="25">
        <f>D18</f>
        <v>0.9</v>
      </c>
      <c r="F127" t="s">
        <v>5</v>
      </c>
      <c r="M127" s="7" t="s">
        <v>242</v>
      </c>
      <c r="N127" s="7">
        <f>N126/2</f>
        <v>0.3</v>
      </c>
    </row>
    <row r="128" spans="2:14" x14ac:dyDescent="0.15">
      <c r="M128" s="7" t="s">
        <v>232</v>
      </c>
      <c r="N128" s="45">
        <f>E127</f>
        <v>0.9</v>
      </c>
    </row>
    <row r="129" spans="2:24" x14ac:dyDescent="0.15">
      <c r="B129" t="s">
        <v>141</v>
      </c>
      <c r="M129" s="7" t="s">
        <v>233</v>
      </c>
      <c r="N129" s="7">
        <f>D31</f>
        <v>23</v>
      </c>
    </row>
    <row r="130" spans="2:24" x14ac:dyDescent="0.15">
      <c r="B130" t="s">
        <v>142</v>
      </c>
      <c r="M130" s="7" t="s">
        <v>234</v>
      </c>
      <c r="N130" s="7">
        <f>N126/N124</f>
        <v>1</v>
      </c>
      <c r="Q130" t="s">
        <v>262</v>
      </c>
      <c r="R130">
        <f>ATAN(N127/N126)</f>
        <v>0.46364760900080609</v>
      </c>
    </row>
    <row r="131" spans="2:24" x14ac:dyDescent="0.15">
      <c r="B131" t="s">
        <v>143</v>
      </c>
      <c r="E131" s="26">
        <f>ROUND(E134*E136*(E145/0.3)^(-3/4),0)</f>
        <v>66595</v>
      </c>
      <c r="M131" s="7" t="s">
        <v>235</v>
      </c>
      <c r="N131" s="46">
        <f>E131</f>
        <v>66595</v>
      </c>
    </row>
    <row r="132" spans="2:24" x14ac:dyDescent="0.15">
      <c r="B132" t="s">
        <v>119</v>
      </c>
      <c r="M132" s="7" t="s">
        <v>244</v>
      </c>
      <c r="N132" s="46">
        <f>E148</f>
        <v>55496</v>
      </c>
      <c r="Q132" s="7"/>
      <c r="R132" s="7" t="s">
        <v>258</v>
      </c>
      <c r="S132" s="7" t="s">
        <v>259</v>
      </c>
      <c r="T132" s="7" t="s">
        <v>260</v>
      </c>
    </row>
    <row r="133" spans="2:24" x14ac:dyDescent="0.15">
      <c r="B133" t="s">
        <v>144</v>
      </c>
      <c r="M133" s="7" t="s">
        <v>236</v>
      </c>
      <c r="N133" s="7">
        <f>E137</f>
        <v>1</v>
      </c>
      <c r="Q133" s="7" t="s">
        <v>249</v>
      </c>
      <c r="R133" s="7">
        <f>R130</f>
        <v>0.46364760900080609</v>
      </c>
      <c r="S133" s="7">
        <f>VLOOKUP(1,$P$138:$X$158,2,FALSE)-R135</f>
        <v>1.0726914240503629</v>
      </c>
      <c r="T133" s="7">
        <f>VLOOKUP(1,$P$160:$X$180,2,FALSE)-S135</f>
        <v>1.1059119957803387</v>
      </c>
      <c r="W133" s="7" t="s">
        <v>257</v>
      </c>
      <c r="X133" s="7">
        <f>ROUND(VLOOKUP(1,$P$182:$X$202,2,FALSE),4)</f>
        <v>1.1136999999999999</v>
      </c>
    </row>
    <row r="134" spans="2:24" x14ac:dyDescent="0.15">
      <c r="B134" t="s">
        <v>146</v>
      </c>
      <c r="E134">
        <v>1.2</v>
      </c>
      <c r="M134" s="7" t="s">
        <v>253</v>
      </c>
      <c r="N134" s="7">
        <f>E77/1000</f>
        <v>2.3439999999999999</v>
      </c>
      <c r="Q134" s="7" t="s">
        <v>250</v>
      </c>
      <c r="R134" s="7">
        <f>ROUND(PI()/2,3)</f>
        <v>1.571</v>
      </c>
      <c r="S134" s="7">
        <f>VLOOKUP(1,$P$138:$X$158,2,FALSE)+R135</f>
        <v>1.1834266631502823</v>
      </c>
      <c r="T134" s="7">
        <f>VLOOKUP(1,$P$160:$X$180,2,FALSE)+S135</f>
        <v>1.1169855196903307</v>
      </c>
    </row>
    <row r="135" spans="2:24" x14ac:dyDescent="0.15">
      <c r="B135" t="s">
        <v>168</v>
      </c>
      <c r="M135" s="7" t="s">
        <v>254</v>
      </c>
      <c r="N135" s="7">
        <f>E72/1000</f>
        <v>0.98039999999999994</v>
      </c>
      <c r="Q135" s="7" t="s">
        <v>251</v>
      </c>
      <c r="R135" s="7">
        <f>(R134-R133)/20</f>
        <v>5.5367619549959689E-2</v>
      </c>
      <c r="S135" s="7">
        <f>(S134-S133)/20</f>
        <v>5.5367619549959723E-3</v>
      </c>
      <c r="T135" s="7">
        <f>(T134-T133)/20</f>
        <v>5.5367619549959721E-4</v>
      </c>
    </row>
    <row r="136" spans="2:24" x14ac:dyDescent="0.15">
      <c r="B136" t="s">
        <v>169</v>
      </c>
      <c r="E136" s="26">
        <f>ROUND(E137*E140/0.3,0)</f>
        <v>93333</v>
      </c>
      <c r="F136" t="s">
        <v>26</v>
      </c>
      <c r="M136" s="8" t="s">
        <v>241</v>
      </c>
      <c r="N136" s="7">
        <f>N127*N131*N128</f>
        <v>17980.650000000001</v>
      </c>
      <c r="P136" t="s">
        <v>261</v>
      </c>
    </row>
    <row r="137" spans="2:24" x14ac:dyDescent="0.15">
      <c r="B137" t="s">
        <v>145</v>
      </c>
      <c r="E137">
        <v>1</v>
      </c>
      <c r="M137" s="8" t="s">
        <v>243</v>
      </c>
      <c r="N137" s="7">
        <f>2*N127*N131*N128^2/3</f>
        <v>10788.390000000001</v>
      </c>
      <c r="P137" s="7" t="s">
        <v>238</v>
      </c>
      <c r="Q137" s="7" t="s">
        <v>237</v>
      </c>
      <c r="R137" s="7" t="s">
        <v>239</v>
      </c>
      <c r="S137" s="7" t="s">
        <v>240</v>
      </c>
      <c r="T137" s="7" t="s">
        <v>247</v>
      </c>
      <c r="U137" s="7" t="s">
        <v>245</v>
      </c>
      <c r="V137" s="7" t="s">
        <v>248</v>
      </c>
      <c r="W137" s="7" t="s">
        <v>252</v>
      </c>
      <c r="X137" s="7" t="s">
        <v>256</v>
      </c>
    </row>
    <row r="138" spans="2:24" x14ac:dyDescent="0.15">
      <c r="B138" t="s">
        <v>147</v>
      </c>
      <c r="E138">
        <v>10</v>
      </c>
      <c r="M138" s="8" t="s">
        <v>246</v>
      </c>
      <c r="N138" s="7">
        <f>N124*N126*N128*N129</f>
        <v>7.452</v>
      </c>
      <c r="P138" s="7">
        <f>RANK(X138,$X$138:$X$158,1)</f>
        <v>21</v>
      </c>
      <c r="Q138" s="48">
        <f>R133</f>
        <v>0.46364760900080609</v>
      </c>
      <c r="R138" s="48">
        <f>$N$130*(1+$N$130*(1/TAN(Q138)))^2</f>
        <v>9</v>
      </c>
      <c r="S138" s="48">
        <f>$N$130/3*(2-$N$130*(1/TAN(Q138)))*(1+$N$130*(1/TAN(Q138)))^2</f>
        <v>0</v>
      </c>
      <c r="T138" s="49">
        <f>($N$127*$N$131*$N$128^3)/2+$N$132*$N$125^4*S138</f>
        <v>7282.1632500000005</v>
      </c>
      <c r="U138" s="50">
        <f>($N$134*$N$136+$N$135*$N$137)/($N$136*T138-$N$137^2)</f>
        <v>3.6239451237240544E-3</v>
      </c>
      <c r="V138" s="45">
        <f>$N$132*$N$125^3*U138*R138</f>
        <v>48.870813436444202</v>
      </c>
      <c r="W138" s="7">
        <f>$N$138-V138</f>
        <v>-41.418813436444204</v>
      </c>
      <c r="X138" s="7">
        <f>ABS(W138)</f>
        <v>41.418813436444204</v>
      </c>
    </row>
    <row r="139" spans="2:24" x14ac:dyDescent="0.15">
      <c r="B139" t="s">
        <v>148</v>
      </c>
      <c r="P139" s="7">
        <f t="shared" ref="P139:P158" si="0">RANK(X139,$X$138:$X$158,1)</f>
        <v>20</v>
      </c>
      <c r="Q139" s="48">
        <f>Q138+$R$135</f>
        <v>0.51901522855076576</v>
      </c>
      <c r="R139" s="48">
        <f t="shared" ref="R139:R202" si="1">$N$130*(1+$N$130*(1/TAN(Q139)))^2</f>
        <v>7.5654254301452335</v>
      </c>
      <c r="S139" s="48">
        <f t="shared" ref="S139:S158" si="2">$N$130/3*(2-$N$130*(1/TAN(Q139)))*(1+$N$130*(1/TAN(Q139)))^2</f>
        <v>0.62911090804751424</v>
      </c>
      <c r="T139" s="49">
        <f t="shared" ref="T139:T180" si="3">($N$127*$N$131*$N$128^3)/2+$N$132*$N$125^4*S139</f>
        <v>7564.9596755193397</v>
      </c>
      <c r="U139" s="50">
        <f t="shared" ref="U139:U180" si="4">($N$134*$N$136+$N$135*$N$137)/($N$136*T139-$N$137^2)</f>
        <v>2.6853842397335129E-3</v>
      </c>
      <c r="V139" s="45">
        <f t="shared" ref="V139:V147" si="5">$N$132*$N$125^3*U139*R139</f>
        <v>30.441443078145792</v>
      </c>
      <c r="W139" s="7">
        <f t="shared" ref="W139:W180" si="6">$N$138-V139</f>
        <v>-22.98944307814579</v>
      </c>
      <c r="X139" s="7">
        <f t="shared" ref="X139:X180" si="7">ABS(W139)</f>
        <v>22.98944307814579</v>
      </c>
    </row>
    <row r="140" spans="2:24" x14ac:dyDescent="0.15">
      <c r="B140" t="s">
        <v>149</v>
      </c>
      <c r="E140" s="26">
        <f>2800*E138</f>
        <v>28000</v>
      </c>
      <c r="P140" s="7">
        <f t="shared" si="0"/>
        <v>19</v>
      </c>
      <c r="Q140" s="48">
        <f t="shared" ref="Q140:Q147" si="8">Q139+$R$135</f>
        <v>0.57438284810072548</v>
      </c>
      <c r="R140" s="48">
        <f t="shared" si="1"/>
        <v>6.4779932512136753</v>
      </c>
      <c r="S140" s="48">
        <f t="shared" si="2"/>
        <v>0.98208489716540659</v>
      </c>
      <c r="T140" s="49">
        <f t="shared" si="3"/>
        <v>7723.6276959700408</v>
      </c>
      <c r="U140" s="50">
        <f t="shared" si="4"/>
        <v>2.3446783791162243E-3</v>
      </c>
      <c r="V140" s="45">
        <f t="shared" si="5"/>
        <v>22.75879246664066</v>
      </c>
      <c r="W140" s="7">
        <f t="shared" si="6"/>
        <v>-15.30679246664066</v>
      </c>
      <c r="X140" s="7">
        <f t="shared" si="7"/>
        <v>15.30679246664066</v>
      </c>
    </row>
    <row r="141" spans="2:24" x14ac:dyDescent="0.15">
      <c r="B141" t="s">
        <v>151</v>
      </c>
      <c r="P141" s="7">
        <f t="shared" si="0"/>
        <v>18</v>
      </c>
      <c r="Q141" s="48">
        <f t="shared" si="8"/>
        <v>0.62975046765068521</v>
      </c>
      <c r="R141" s="48">
        <f t="shared" si="1"/>
        <v>5.6275483944868192</v>
      </c>
      <c r="S141" s="48">
        <f t="shared" si="2"/>
        <v>1.1775730685123389</v>
      </c>
      <c r="T141" s="49">
        <f t="shared" si="3"/>
        <v>7811.5030695823025</v>
      </c>
      <c r="U141" s="50">
        <f t="shared" si="4"/>
        <v>2.190741696343472E-3</v>
      </c>
      <c r="V141" s="45">
        <f t="shared" si="5"/>
        <v>18.472933138084638</v>
      </c>
      <c r="W141" s="7">
        <f t="shared" si="6"/>
        <v>-11.020933138084638</v>
      </c>
      <c r="X141" s="7">
        <f t="shared" si="7"/>
        <v>11.020933138084638</v>
      </c>
    </row>
    <row r="142" spans="2:24" x14ac:dyDescent="0.15">
      <c r="B142" t="s">
        <v>152</v>
      </c>
      <c r="E142" s="25">
        <f>E125</f>
        <v>0.6</v>
      </c>
      <c r="F142" t="s">
        <v>5</v>
      </c>
      <c r="P142" s="7">
        <f t="shared" si="0"/>
        <v>17</v>
      </c>
      <c r="Q142" s="48">
        <f t="shared" si="8"/>
        <v>0.68511808720064493</v>
      </c>
      <c r="R142" s="48">
        <f t="shared" si="1"/>
        <v>4.9450558247264382</v>
      </c>
      <c r="S142" s="48">
        <f t="shared" si="2"/>
        <v>1.2795362477689771</v>
      </c>
      <c r="T142" s="49">
        <f t="shared" si="3"/>
        <v>7857.3373132101169</v>
      </c>
      <c r="U142" s="50">
        <f t="shared" si="4"/>
        <v>2.1182063006121928E-3</v>
      </c>
      <c r="V142" s="45">
        <f t="shared" si="5"/>
        <v>15.695129372586905</v>
      </c>
      <c r="W142" s="7">
        <f t="shared" si="6"/>
        <v>-8.243129372586905</v>
      </c>
      <c r="X142" s="7">
        <f t="shared" si="7"/>
        <v>8.243129372586905</v>
      </c>
    </row>
    <row r="143" spans="2:24" x14ac:dyDescent="0.15">
      <c r="B143" t="s">
        <v>153</v>
      </c>
      <c r="E143" s="25">
        <f>E127</f>
        <v>0.9</v>
      </c>
      <c r="F143" t="s">
        <v>5</v>
      </c>
      <c r="P143" s="7">
        <f t="shared" si="0"/>
        <v>16</v>
      </c>
      <c r="Q143" s="48">
        <f t="shared" si="8"/>
        <v>0.74048570675060466</v>
      </c>
      <c r="R143" s="48">
        <f t="shared" si="1"/>
        <v>4.3853182403572681</v>
      </c>
      <c r="S143" s="48">
        <f t="shared" si="2"/>
        <v>1.3241977928211943</v>
      </c>
      <c r="T143" s="49">
        <f t="shared" si="3"/>
        <v>7877.4134637542811</v>
      </c>
      <c r="U143" s="50">
        <f t="shared" si="4"/>
        <v>2.0879257178550181E-3</v>
      </c>
      <c r="V143" s="45">
        <f t="shared" si="5"/>
        <v>13.719604902805067</v>
      </c>
      <c r="W143" s="7">
        <f t="shared" si="6"/>
        <v>-6.2676049028050667</v>
      </c>
      <c r="X143" s="7">
        <f t="shared" si="7"/>
        <v>6.2676049028050667</v>
      </c>
    </row>
    <row r="144" spans="2:24" x14ac:dyDescent="0.15">
      <c r="B144" t="s">
        <v>154</v>
      </c>
      <c r="E144">
        <f>ROUND(SQRT(E142*E143),3)</f>
        <v>0.73499999999999999</v>
      </c>
      <c r="F144" t="s">
        <v>5</v>
      </c>
      <c r="P144" s="7">
        <f t="shared" si="0"/>
        <v>15</v>
      </c>
      <c r="Q144" s="48">
        <f t="shared" si="8"/>
        <v>0.79585332630056438</v>
      </c>
      <c r="R144" s="48">
        <f t="shared" si="1"/>
        <v>3.9176494181063157</v>
      </c>
      <c r="S144" s="48">
        <f t="shared" si="2"/>
        <v>1.3329080164925733</v>
      </c>
      <c r="T144" s="49">
        <f t="shared" si="3"/>
        <v>7881.3288625945024</v>
      </c>
      <c r="U144" s="50">
        <f t="shared" si="4"/>
        <v>2.0821207815797421E-3</v>
      </c>
      <c r="V144" s="45">
        <f t="shared" si="5"/>
        <v>12.222412415590856</v>
      </c>
      <c r="W144" s="7">
        <f t="shared" si="6"/>
        <v>-4.7704124155908563</v>
      </c>
      <c r="X144" s="7">
        <f t="shared" si="7"/>
        <v>4.7704124155908563</v>
      </c>
    </row>
    <row r="145" spans="2:24" x14ac:dyDescent="0.15">
      <c r="B145" t="s">
        <v>157</v>
      </c>
      <c r="D145" t="s">
        <v>150</v>
      </c>
      <c r="E145" s="25">
        <f>IF(E142&lt;=E144,E142,E144)</f>
        <v>0.6</v>
      </c>
      <c r="F145" t="s">
        <v>5</v>
      </c>
      <c r="P145" s="7">
        <f t="shared" si="0"/>
        <v>14</v>
      </c>
      <c r="Q145" s="48">
        <f t="shared" si="8"/>
        <v>0.8512209458505241</v>
      </c>
      <c r="R145" s="48">
        <f t="shared" si="1"/>
        <v>3.5205651957256316</v>
      </c>
      <c r="S145" s="48">
        <f t="shared" si="2"/>
        <v>1.318666510578119</v>
      </c>
      <c r="T145" s="49">
        <f t="shared" si="3"/>
        <v>7874.9270550354513</v>
      </c>
      <c r="U145" s="50">
        <f t="shared" si="4"/>
        <v>2.0916288795837209E-3</v>
      </c>
      <c r="V145" s="45">
        <f t="shared" si="5"/>
        <v>11.033732898691543</v>
      </c>
      <c r="W145" s="7">
        <f t="shared" si="6"/>
        <v>-3.5817328986915431</v>
      </c>
      <c r="X145" s="7">
        <f t="shared" si="7"/>
        <v>3.5817328986915431</v>
      </c>
    </row>
    <row r="146" spans="2:24" x14ac:dyDescent="0.15">
      <c r="P146" s="7">
        <f t="shared" si="0"/>
        <v>10</v>
      </c>
      <c r="Q146" s="48">
        <f t="shared" si="8"/>
        <v>0.90658856540048383</v>
      </c>
      <c r="R146" s="48">
        <f t="shared" si="1"/>
        <v>3.1786229497431835</v>
      </c>
      <c r="S146" s="48">
        <f t="shared" si="2"/>
        <v>1.2895998559860855</v>
      </c>
      <c r="T146" s="49">
        <f t="shared" si="3"/>
        <v>7861.8610822232113</v>
      </c>
      <c r="U146" s="50">
        <f t="shared" si="4"/>
        <v>2.1113067548381337E-3</v>
      </c>
      <c r="V146" s="45">
        <f t="shared" si="5"/>
        <v>10.055780791961805</v>
      </c>
      <c r="W146" s="7">
        <f t="shared" si="6"/>
        <v>-2.603780791961805</v>
      </c>
      <c r="X146" s="7">
        <f t="shared" si="7"/>
        <v>2.603780791961805</v>
      </c>
    </row>
    <row r="147" spans="2:24" x14ac:dyDescent="0.15">
      <c r="B147" t="s">
        <v>158</v>
      </c>
      <c r="P147" s="7">
        <f t="shared" si="0"/>
        <v>7</v>
      </c>
      <c r="Q147" s="48">
        <f t="shared" si="8"/>
        <v>0.96195618495044355</v>
      </c>
      <c r="R147" s="48">
        <f t="shared" si="1"/>
        <v>2.8804668811280356</v>
      </c>
      <c r="S147" s="48">
        <f t="shared" si="2"/>
        <v>1.2508966794450982</v>
      </c>
      <c r="T147" s="49">
        <f t="shared" si="3"/>
        <v>7844.4633231921307</v>
      </c>
      <c r="U147" s="50">
        <f t="shared" si="4"/>
        <v>2.1380904946489963E-3</v>
      </c>
      <c r="V147" s="45">
        <f t="shared" si="5"/>
        <v>9.2281451002718651</v>
      </c>
      <c r="W147" s="7">
        <f t="shared" si="6"/>
        <v>-1.7761451002718651</v>
      </c>
      <c r="X147" s="7">
        <f t="shared" si="7"/>
        <v>1.7761451002718651</v>
      </c>
    </row>
    <row r="148" spans="2:24" x14ac:dyDescent="0.15">
      <c r="B148" t="s">
        <v>159</v>
      </c>
      <c r="E148" s="26">
        <f>ROUND(E152*(E158/0.3)^(-3/4),0)</f>
        <v>55496</v>
      </c>
      <c r="P148" s="7">
        <f t="shared" si="0"/>
        <v>4</v>
      </c>
      <c r="Q148" s="48">
        <f t="shared" ref="Q148:Q158" si="9">Q147+$R$135</f>
        <v>1.0173238045004032</v>
      </c>
      <c r="R148" s="48">
        <f t="shared" si="1"/>
        <v>2.6175786100823721</v>
      </c>
      <c r="S148" s="48">
        <f t="shared" si="2"/>
        <v>1.2059243439760201</v>
      </c>
      <c r="T148" s="49">
        <f t="shared" si="3"/>
        <v>7824.2474668856757</v>
      </c>
      <c r="U148" s="50">
        <f t="shared" si="4"/>
        <v>2.1700790229380487E-3</v>
      </c>
      <c r="V148" s="45">
        <f t="shared" ref="V148:V158" si="10">$N$132*$N$125^3*U148*R148</f>
        <v>8.5113946422349649</v>
      </c>
      <c r="W148" s="7">
        <f t="shared" si="6"/>
        <v>-1.0593946422349649</v>
      </c>
      <c r="X148" s="7">
        <f t="shared" si="7"/>
        <v>1.0593946422349649</v>
      </c>
    </row>
    <row r="149" spans="2:24" x14ac:dyDescent="0.15">
      <c r="B149" t="s">
        <v>119</v>
      </c>
      <c r="P149" s="7">
        <f t="shared" si="0"/>
        <v>2</v>
      </c>
      <c r="Q149" s="48">
        <f t="shared" si="9"/>
        <v>1.0726914240503629</v>
      </c>
      <c r="R149" s="48">
        <f t="shared" si="1"/>
        <v>2.3834553757176846</v>
      </c>
      <c r="S149" s="48">
        <f t="shared" si="2"/>
        <v>1.1568940042949363</v>
      </c>
      <c r="T149" s="49">
        <f t="shared" si="3"/>
        <v>7802.2074662650502</v>
      </c>
      <c r="U149" s="50">
        <f t="shared" si="4"/>
        <v>2.2060626956687118E-3</v>
      </c>
      <c r="V149" s="45">
        <f t="shared" si="10"/>
        <v>7.8786230391409688</v>
      </c>
      <c r="W149" s="7">
        <f t="shared" si="6"/>
        <v>-0.42662303914096888</v>
      </c>
      <c r="X149" s="7">
        <f t="shared" si="7"/>
        <v>0.42662303914096888</v>
      </c>
    </row>
    <row r="150" spans="2:24" x14ac:dyDescent="0.15">
      <c r="B150" t="s">
        <v>160</v>
      </c>
      <c r="P150" s="7">
        <f t="shared" si="0"/>
        <v>1</v>
      </c>
      <c r="Q150" s="48">
        <f t="shared" si="9"/>
        <v>1.1280590436003226</v>
      </c>
      <c r="R150" s="48">
        <f t="shared" si="1"/>
        <v>2.1730557469652356</v>
      </c>
      <c r="S150" s="48">
        <f t="shared" si="2"/>
        <v>1.1052677198895922</v>
      </c>
      <c r="T150" s="49">
        <f t="shared" si="3"/>
        <v>7779.0005428022423</v>
      </c>
      <c r="U150" s="50">
        <f t="shared" si="4"/>
        <v>2.2452642574657586E-3</v>
      </c>
      <c r="V150" s="45">
        <f t="shared" si="10"/>
        <v>7.3107810295001867</v>
      </c>
      <c r="W150" s="7">
        <f t="shared" si="6"/>
        <v>0.14121897049981325</v>
      </c>
      <c r="X150" s="7">
        <f t="shared" si="7"/>
        <v>0.14121897049981325</v>
      </c>
    </row>
    <row r="151" spans="2:24" x14ac:dyDescent="0.15">
      <c r="B151" t="s">
        <v>161</v>
      </c>
      <c r="P151" s="7">
        <f t="shared" si="0"/>
        <v>3</v>
      </c>
      <c r="Q151" s="48">
        <f t="shared" si="9"/>
        <v>1.1834266631502823</v>
      </c>
      <c r="R151" s="48">
        <f t="shared" si="1"/>
        <v>1.9824174090630577</v>
      </c>
      <c r="S151" s="48">
        <f t="shared" si="2"/>
        <v>1.0520137715566182</v>
      </c>
      <c r="T151" s="49">
        <f t="shared" si="3"/>
        <v>7755.0619557570799</v>
      </c>
      <c r="U151" s="50">
        <f t="shared" si="4"/>
        <v>2.2871888142785611E-3</v>
      </c>
      <c r="V151" s="45">
        <f t="shared" si="10"/>
        <v>6.7939534508795987</v>
      </c>
      <c r="W151" s="7">
        <f t="shared" si="6"/>
        <v>0.65804654912040128</v>
      </c>
      <c r="X151" s="7">
        <f t="shared" si="7"/>
        <v>0.65804654912040128</v>
      </c>
    </row>
    <row r="152" spans="2:24" x14ac:dyDescent="0.15">
      <c r="B152" t="s">
        <v>167</v>
      </c>
      <c r="E152" s="26">
        <f>ROUND(E153*E156/0.3,0)</f>
        <v>93333</v>
      </c>
      <c r="F152" t="s">
        <v>26</v>
      </c>
      <c r="P152" s="7">
        <f t="shared" si="0"/>
        <v>5</v>
      </c>
      <c r="Q152" s="48">
        <f t="shared" si="9"/>
        <v>1.2387942827002421</v>
      </c>
      <c r="R152" s="48">
        <f t="shared" si="1"/>
        <v>1.8083884299429127</v>
      </c>
      <c r="S152" s="48">
        <f t="shared" si="2"/>
        <v>0.99777027731077661</v>
      </c>
      <c r="T152" s="49">
        <f t="shared" si="3"/>
        <v>7730.6785504080754</v>
      </c>
      <c r="U152" s="50">
        <f t="shared" si="4"/>
        <v>2.3315331816518106E-3</v>
      </c>
      <c r="V152" s="45">
        <f t="shared" si="10"/>
        <v>6.3176966058420811</v>
      </c>
      <c r="W152" s="7">
        <f t="shared" si="6"/>
        <v>1.1343033941579188</v>
      </c>
      <c r="X152" s="7">
        <f t="shared" si="7"/>
        <v>1.1343033941579188</v>
      </c>
    </row>
    <row r="153" spans="2:24" x14ac:dyDescent="0.15">
      <c r="B153" t="s">
        <v>145</v>
      </c>
      <c r="E153">
        <v>1</v>
      </c>
      <c r="P153" s="7">
        <f t="shared" si="0"/>
        <v>6</v>
      </c>
      <c r="Q153" s="48">
        <f t="shared" si="9"/>
        <v>1.2941619022502018</v>
      </c>
      <c r="R153" s="48">
        <f t="shared" si="1"/>
        <v>1.6484350788687903</v>
      </c>
      <c r="S153" s="48">
        <f t="shared" si="2"/>
        <v>0.94295213748354356</v>
      </c>
      <c r="T153" s="49">
        <f t="shared" si="3"/>
        <v>7706.0368317564735</v>
      </c>
      <c r="U153" s="50">
        <f t="shared" si="4"/>
        <v>2.3781291692760195E-3</v>
      </c>
      <c r="V153" s="45">
        <f t="shared" si="10"/>
        <v>5.8739836490696264</v>
      </c>
      <c r="W153" s="7">
        <f t="shared" si="6"/>
        <v>1.5780163509303735</v>
      </c>
      <c r="X153" s="7">
        <f t="shared" si="7"/>
        <v>1.5780163509303735</v>
      </c>
    </row>
    <row r="154" spans="2:24" x14ac:dyDescent="0.15">
      <c r="B154" t="s">
        <v>147</v>
      </c>
      <c r="E154">
        <v>10</v>
      </c>
      <c r="P154" s="7">
        <f t="shared" si="0"/>
        <v>8</v>
      </c>
      <c r="Q154" s="48">
        <f t="shared" si="9"/>
        <v>1.3495295218001615</v>
      </c>
      <c r="R154" s="48">
        <f t="shared" si="1"/>
        <v>1.5005023837835987</v>
      </c>
      <c r="S154" s="48">
        <f t="shared" si="2"/>
        <v>0.88782227634863331</v>
      </c>
      <c r="T154" s="49">
        <f t="shared" si="3"/>
        <v>7681.2549888907752</v>
      </c>
      <c r="U154" s="50">
        <f t="shared" si="4"/>
        <v>2.426907020289382E-3</v>
      </c>
      <c r="V154" s="45">
        <f t="shared" si="10"/>
        <v>5.4565139934792342</v>
      </c>
      <c r="W154" s="7">
        <f t="shared" si="6"/>
        <v>1.9954860065207658</v>
      </c>
      <c r="X154" s="7">
        <f t="shared" si="7"/>
        <v>1.9954860065207658</v>
      </c>
    </row>
    <row r="155" spans="2:24" x14ac:dyDescent="0.15">
      <c r="B155" t="s">
        <v>148</v>
      </c>
      <c r="P155" s="7">
        <f t="shared" si="0"/>
        <v>9</v>
      </c>
      <c r="Q155" s="48">
        <f t="shared" si="9"/>
        <v>1.4048971413501212</v>
      </c>
      <c r="R155" s="48">
        <f t="shared" si="1"/>
        <v>1.3629117611894002</v>
      </c>
      <c r="S155" s="48">
        <f t="shared" si="2"/>
        <v>0.83254004700565498</v>
      </c>
      <c r="T155" s="49">
        <f t="shared" si="3"/>
        <v>7656.4046538338698</v>
      </c>
      <c r="U155" s="50">
        <f t="shared" si="4"/>
        <v>2.4778711475564861E-3</v>
      </c>
      <c r="V155" s="45">
        <f t="shared" si="10"/>
        <v>5.060249186049532</v>
      </c>
      <c r="W155" s="7">
        <f t="shared" si="6"/>
        <v>2.391750813950468</v>
      </c>
      <c r="X155" s="7">
        <f t="shared" si="7"/>
        <v>2.391750813950468</v>
      </c>
    </row>
    <row r="156" spans="2:24" x14ac:dyDescent="0.15">
      <c r="B156" t="s">
        <v>149</v>
      </c>
      <c r="E156" s="26">
        <f>2800*E154</f>
        <v>28000</v>
      </c>
      <c r="P156" s="7">
        <f t="shared" si="0"/>
        <v>11</v>
      </c>
      <c r="Q156" s="48">
        <f t="shared" si="9"/>
        <v>1.4602647609000809</v>
      </c>
      <c r="R156" s="48">
        <f t="shared" si="1"/>
        <v>1.2342852400745274</v>
      </c>
      <c r="S156" s="48">
        <f t="shared" si="2"/>
        <v>0.77719489423591714</v>
      </c>
      <c r="T156" s="49">
        <f t="shared" si="3"/>
        <v>7631.5260335891835</v>
      </c>
      <c r="U156" s="50">
        <f t="shared" si="4"/>
        <v>2.5310834386279529E-3</v>
      </c>
      <c r="V156" s="45">
        <f t="shared" si="10"/>
        <v>4.6810948756243942</v>
      </c>
      <c r="W156" s="7">
        <f t="shared" si="6"/>
        <v>2.7709051243756058</v>
      </c>
      <c r="X156" s="7">
        <f t="shared" si="7"/>
        <v>2.7709051243756058</v>
      </c>
    </row>
    <row r="157" spans="2:24" x14ac:dyDescent="0.15">
      <c r="B157" t="s">
        <v>162</v>
      </c>
      <c r="P157" s="7">
        <f t="shared" si="0"/>
        <v>12</v>
      </c>
      <c r="Q157" s="48">
        <f t="shared" si="9"/>
        <v>1.5156323804500407</v>
      </c>
      <c r="R157" s="48">
        <f t="shared" si="1"/>
        <v>1.1134891856995985</v>
      </c>
      <c r="S157" s="48">
        <f t="shared" si="2"/>
        <v>0.72183051054874081</v>
      </c>
      <c r="T157" s="49">
        <f t="shared" si="3"/>
        <v>7606.6387687086453</v>
      </c>
      <c r="U157" s="50">
        <f t="shared" si="4"/>
        <v>2.5866510806409962E-3</v>
      </c>
      <c r="V157" s="45">
        <f t="shared" si="10"/>
        <v>4.3156806337350959</v>
      </c>
      <c r="W157" s="7">
        <f t="shared" si="6"/>
        <v>3.136319366264904</v>
      </c>
      <c r="X157" s="7">
        <f t="shared" si="7"/>
        <v>3.136319366264904</v>
      </c>
    </row>
    <row r="158" spans="2:24" x14ac:dyDescent="0.15">
      <c r="B158" t="s">
        <v>163</v>
      </c>
      <c r="E158" s="25">
        <f>ROUND(SQRT(E160),3)</f>
        <v>0.6</v>
      </c>
      <c r="F158" t="s">
        <v>5</v>
      </c>
      <c r="P158" s="7">
        <f t="shared" si="0"/>
        <v>13</v>
      </c>
      <c r="Q158" s="48">
        <f t="shared" si="9"/>
        <v>1.5710000000000004</v>
      </c>
      <c r="R158" s="48">
        <f t="shared" si="1"/>
        <v>0.99959269506693538</v>
      </c>
      <c r="S158" s="48">
        <f t="shared" si="2"/>
        <v>0.66646299346156279</v>
      </c>
      <c r="T158" s="49">
        <f t="shared" si="3"/>
        <v>7581.7500953096578</v>
      </c>
      <c r="U158" s="50">
        <f t="shared" si="4"/>
        <v>2.6447167245110168E-3</v>
      </c>
      <c r="V158" s="45">
        <f t="shared" si="10"/>
        <v>3.9612083051683529</v>
      </c>
      <c r="W158" s="7">
        <f t="shared" si="6"/>
        <v>3.4907916948316471</v>
      </c>
      <c r="X158" s="7">
        <f t="shared" si="7"/>
        <v>3.4907916948316471</v>
      </c>
    </row>
    <row r="159" spans="2:24" x14ac:dyDescent="0.15">
      <c r="B159" t="s">
        <v>164</v>
      </c>
      <c r="E159" s="25"/>
      <c r="P159" t="s">
        <v>259</v>
      </c>
    </row>
    <row r="160" spans="2:24" x14ac:dyDescent="0.15">
      <c r="B160" t="s">
        <v>165</v>
      </c>
      <c r="E160" s="25">
        <f>ROUND(E125*E126,3)</f>
        <v>0.36</v>
      </c>
      <c r="F160" t="s">
        <v>166</v>
      </c>
      <c r="P160" s="7">
        <f>RANK(X160,$X$160:$X$180,1)</f>
        <v>16</v>
      </c>
      <c r="Q160" s="48">
        <f>VLOOKUP(1,$P$138:$X$158,2,FALSE)-R135</f>
        <v>1.0726914240503629</v>
      </c>
      <c r="R160" s="48">
        <f t="shared" si="1"/>
        <v>2.3834553757176846</v>
      </c>
      <c r="S160" s="48">
        <f t="shared" ref="S160:S180" si="11">$N$130/3*(2-$N$130*(1/TAN(Q160)))*(1+$N$130*(1/TAN(Q160)))^2</f>
        <v>1.1568940042949363</v>
      </c>
      <c r="T160" s="49">
        <f t="shared" si="3"/>
        <v>7802.2074662650502</v>
      </c>
      <c r="U160" s="50">
        <f t="shared" si="4"/>
        <v>2.2060626956687118E-3</v>
      </c>
      <c r="V160" s="45">
        <f t="shared" ref="V160" si="12">$N$132*$N$125^3*U160*R160</f>
        <v>7.8786230391409688</v>
      </c>
      <c r="W160" s="7">
        <f t="shared" si="6"/>
        <v>-0.42662303914096888</v>
      </c>
      <c r="X160" s="7">
        <f t="shared" si="7"/>
        <v>0.42662303914096888</v>
      </c>
    </row>
    <row r="161" spans="2:24" x14ac:dyDescent="0.15">
      <c r="E161" s="25"/>
      <c r="P161" s="7">
        <f t="shared" ref="P161:P180" si="13">RANK(X161,$X$160:$X$180,1)</f>
        <v>14</v>
      </c>
      <c r="Q161" s="51">
        <f>Q160+$S$135</f>
        <v>1.0782281860053589</v>
      </c>
      <c r="R161" s="48">
        <f t="shared" si="1"/>
        <v>2.3614206529640627</v>
      </c>
      <c r="S161" s="48">
        <f t="shared" si="11"/>
        <v>1.1518290001802964</v>
      </c>
      <c r="T161" s="49">
        <f t="shared" si="3"/>
        <v>7799.9306577714469</v>
      </c>
      <c r="U161" s="50">
        <f t="shared" si="4"/>
        <v>2.2098480562342854E-3</v>
      </c>
      <c r="V161" s="45">
        <f t="shared" ref="V161:V169" si="14">$N$132*$N$125^3*U161*R161</f>
        <v>7.819180103465631</v>
      </c>
      <c r="W161" s="7">
        <f t="shared" si="6"/>
        <v>-0.36718010346563101</v>
      </c>
      <c r="X161" s="7">
        <f t="shared" si="7"/>
        <v>0.36718010346563101</v>
      </c>
    </row>
    <row r="162" spans="2:24" x14ac:dyDescent="0.15">
      <c r="B162" t="s">
        <v>170</v>
      </c>
      <c r="P162" s="7">
        <f t="shared" si="13"/>
        <v>12</v>
      </c>
      <c r="Q162" s="51">
        <f t="shared" ref="Q162:Q169" si="15">Q161+$S$135</f>
        <v>1.0837649479603548</v>
      </c>
      <c r="R162" s="48">
        <f t="shared" si="1"/>
        <v>2.3396179172147917</v>
      </c>
      <c r="S162" s="48">
        <f t="shared" si="11"/>
        <v>1.1467395762410362</v>
      </c>
      <c r="T162" s="49">
        <f t="shared" si="3"/>
        <v>7797.6428721368884</v>
      </c>
      <c r="U162" s="50">
        <f t="shared" si="4"/>
        <v>2.2136647743191133E-3</v>
      </c>
      <c r="V162" s="45">
        <f t="shared" si="14"/>
        <v>7.7603666123882782</v>
      </c>
      <c r="W162" s="7">
        <f t="shared" si="6"/>
        <v>-0.30836661238827823</v>
      </c>
      <c r="X162" s="7">
        <f t="shared" si="7"/>
        <v>0.30836661238827823</v>
      </c>
    </row>
    <row r="163" spans="2:24" x14ac:dyDescent="0.15">
      <c r="B163" t="s">
        <v>178</v>
      </c>
      <c r="P163" s="7">
        <f t="shared" si="13"/>
        <v>10</v>
      </c>
      <c r="Q163" s="51">
        <f t="shared" si="15"/>
        <v>1.0893017099153508</v>
      </c>
      <c r="R163" s="48">
        <f t="shared" si="1"/>
        <v>2.3180429006457377</v>
      </c>
      <c r="S163" s="48">
        <f t="shared" si="11"/>
        <v>1.1416268283563853</v>
      </c>
      <c r="T163" s="49">
        <f t="shared" si="3"/>
        <v>7795.3446019783751</v>
      </c>
      <c r="U163" s="50">
        <f t="shared" si="4"/>
        <v>2.2175122816174434E-3</v>
      </c>
      <c r="V163" s="45">
        <f t="shared" si="14"/>
        <v>7.702167318175861</v>
      </c>
      <c r="W163" s="7">
        <f t="shared" si="6"/>
        <v>-0.25016731817586102</v>
      </c>
      <c r="X163" s="7">
        <f t="shared" si="7"/>
        <v>0.25016731817586102</v>
      </c>
    </row>
    <row r="164" spans="2:24" x14ac:dyDescent="0.15">
      <c r="P164" s="7">
        <f t="shared" si="13"/>
        <v>7</v>
      </c>
      <c r="Q164" s="51">
        <f t="shared" si="15"/>
        <v>1.0948384718703468</v>
      </c>
      <c r="R164" s="48">
        <f t="shared" si="1"/>
        <v>2.2966914355301307</v>
      </c>
      <c r="S164" s="48">
        <f t="shared" si="11"/>
        <v>1.1364918082064666</v>
      </c>
      <c r="T164" s="49">
        <f t="shared" si="3"/>
        <v>7793.0363200446318</v>
      </c>
      <c r="U164" s="50">
        <f t="shared" si="4"/>
        <v>2.221390035057559E-3</v>
      </c>
      <c r="V164" s="45">
        <f t="shared" si="14"/>
        <v>7.6445674320036794</v>
      </c>
      <c r="W164" s="7">
        <f t="shared" si="6"/>
        <v>-0.19256743200367943</v>
      </c>
      <c r="X164" s="7">
        <f t="shared" si="7"/>
        <v>0.19256743200367943</v>
      </c>
    </row>
    <row r="165" spans="2:24" x14ac:dyDescent="0.15">
      <c r="B165" t="s">
        <v>171</v>
      </c>
      <c r="E165">
        <f>ROUND(E125*E126*E127*D31,3)</f>
        <v>7.452</v>
      </c>
      <c r="F165" t="s">
        <v>172</v>
      </c>
      <c r="P165" s="7">
        <f t="shared" si="13"/>
        <v>5</v>
      </c>
      <c r="Q165" s="51">
        <f t="shared" si="15"/>
        <v>1.1003752338253427</v>
      </c>
      <c r="R165" s="48">
        <f t="shared" si="1"/>
        <v>2.2755594513903841</v>
      </c>
      <c r="S165" s="48">
        <f t="shared" si="11"/>
        <v>1.1313355250197801</v>
      </c>
      <c r="T165" s="49">
        <f t="shared" si="3"/>
        <v>7790.7184800016321</v>
      </c>
      <c r="U165" s="50">
        <f t="shared" si="4"/>
        <v>2.2252975158335094E-3</v>
      </c>
      <c r="V165" s="45">
        <f t="shared" si="14"/>
        <v>7.5875526062204761</v>
      </c>
      <c r="W165" s="7">
        <f t="shared" si="6"/>
        <v>-0.13555260622047616</v>
      </c>
      <c r="X165" s="7">
        <f t="shared" si="7"/>
        <v>0.13555260622047616</v>
      </c>
    </row>
    <row r="166" spans="2:24" x14ac:dyDescent="0.15">
      <c r="B166" t="s">
        <v>176</v>
      </c>
      <c r="E166" s="47">
        <f>D19</f>
        <v>1.1136999999999999</v>
      </c>
      <c r="F166" t="s">
        <v>175</v>
      </c>
      <c r="G166" t="s">
        <v>177</v>
      </c>
      <c r="P166" s="7">
        <f t="shared" si="13"/>
        <v>3</v>
      </c>
      <c r="Q166" s="51">
        <f t="shared" si="15"/>
        <v>1.1059119957803387</v>
      </c>
      <c r="R166" s="48">
        <f t="shared" si="1"/>
        <v>2.2546429722461703</v>
      </c>
      <c r="S166" s="48">
        <f t="shared" si="11"/>
        <v>1.1261589472462943</v>
      </c>
      <c r="T166" s="49">
        <f t="shared" si="3"/>
        <v>7788.3915171846811</v>
      </c>
      <c r="U166" s="50">
        <f t="shared" si="4"/>
        <v>2.2292342284826148E-3</v>
      </c>
      <c r="V166" s="45">
        <f t="shared" si="14"/>
        <v>7.531108917431335</v>
      </c>
      <c r="W166" s="7">
        <f t="shared" si="6"/>
        <v>-7.910891743133508E-2</v>
      </c>
      <c r="X166" s="7">
        <f t="shared" si="7"/>
        <v>7.910891743133508E-2</v>
      </c>
    </row>
    <row r="167" spans="2:24" x14ac:dyDescent="0.15">
      <c r="B167" t="s">
        <v>179</v>
      </c>
      <c r="E167">
        <f>ROUND(E170*(1+E170*(1/TAN(E166)))^2,3)</f>
        <v>2.226</v>
      </c>
      <c r="P167" s="7">
        <f t="shared" si="13"/>
        <v>1</v>
      </c>
      <c r="Q167" s="51">
        <f t="shared" si="15"/>
        <v>1.1114487577353347</v>
      </c>
      <c r="R167" s="48">
        <f t="shared" si="1"/>
        <v>2.2339381139550891</v>
      </c>
      <c r="S167" s="48">
        <f t="shared" si="11"/>
        <v>1.1209630041596379</v>
      </c>
      <c r="T167" s="49">
        <f t="shared" si="3"/>
        <v>7786.0558493186309</v>
      </c>
      <c r="U167" s="50">
        <f t="shared" si="4"/>
        <v>2.2331997000062383E-3</v>
      </c>
      <c r="V167" s="45">
        <f t="shared" si="14"/>
        <v>7.4752228503546361</v>
      </c>
      <c r="W167" s="7">
        <f t="shared" si="6"/>
        <v>-2.3222850354636115E-2</v>
      </c>
      <c r="X167" s="7">
        <f t="shared" si="7"/>
        <v>2.3222850354636115E-2</v>
      </c>
    </row>
    <row r="168" spans="2:24" x14ac:dyDescent="0.15">
      <c r="B168" t="s">
        <v>180</v>
      </c>
      <c r="E168">
        <f>ROUND(E170/3*(2-E170*(1/TAN(E166)))*(1+E170*(1/TAN(E166)))^2,3)</f>
        <v>1.119</v>
      </c>
      <c r="P168" s="7">
        <f t="shared" si="13"/>
        <v>2</v>
      </c>
      <c r="Q168" s="51">
        <f t="shared" si="15"/>
        <v>1.1169855196903307</v>
      </c>
      <c r="R168" s="48">
        <f t="shared" si="1"/>
        <v>2.2134410816423502</v>
      </c>
      <c r="S168" s="48">
        <f t="shared" si="11"/>
        <v>1.1157485873916746</v>
      </c>
      <c r="T168" s="49">
        <f t="shared" si="3"/>
        <v>7783.7118772076965</v>
      </c>
      <c r="U168" s="50">
        <f t="shared" si="4"/>
        <v>2.2371934790315711E-3</v>
      </c>
      <c r="V168" s="45">
        <f t="shared" si="14"/>
        <v>7.4198812824121347</v>
      </c>
      <c r="W168" s="7">
        <f t="shared" si="6"/>
        <v>3.211871758786522E-2</v>
      </c>
      <c r="X168" s="7">
        <f t="shared" si="7"/>
        <v>3.211871758786522E-2</v>
      </c>
    </row>
    <row r="169" spans="2:24" x14ac:dyDescent="0.15">
      <c r="B169" t="s">
        <v>181</v>
      </c>
      <c r="P169" s="7">
        <f t="shared" si="13"/>
        <v>4</v>
      </c>
      <c r="Q169" s="51">
        <f t="shared" si="15"/>
        <v>1.1225222816453266</v>
      </c>
      <c r="R169" s="48">
        <f t="shared" si="1"/>
        <v>2.1931481672161164</v>
      </c>
      <c r="S169" s="48">
        <f t="shared" si="11"/>
        <v>1.1105165524026097</v>
      </c>
      <c r="T169" s="49">
        <f t="shared" si="3"/>
        <v>7781.359985396296</v>
      </c>
      <c r="U169" s="50">
        <f t="shared" si="4"/>
        <v>2.2412151350122552E-3</v>
      </c>
      <c r="V169" s="45">
        <f t="shared" si="14"/>
        <v>7.365071469013694</v>
      </c>
      <c r="W169" s="7">
        <f t="shared" si="6"/>
        <v>8.692853098630593E-2</v>
      </c>
      <c r="X169" s="7">
        <f t="shared" si="7"/>
        <v>8.692853098630593E-2</v>
      </c>
    </row>
    <row r="170" spans="2:24" x14ac:dyDescent="0.15">
      <c r="B170" t="s">
        <v>182</v>
      </c>
      <c r="E170" s="27">
        <f>ROUND(E125/E126,3)</f>
        <v>1</v>
      </c>
      <c r="P170" s="7">
        <f t="shared" si="13"/>
        <v>6</v>
      </c>
      <c r="Q170" s="51">
        <f>Q169+$S$135</f>
        <v>1.1280590436003226</v>
      </c>
      <c r="R170" s="48">
        <f t="shared" si="1"/>
        <v>2.1730557469652356</v>
      </c>
      <c r="S170" s="48">
        <f t="shared" si="11"/>
        <v>1.1052677198895922</v>
      </c>
      <c r="T170" s="49">
        <f t="shared" si="3"/>
        <v>7779.0005428022423</v>
      </c>
      <c r="U170" s="50">
        <f t="shared" si="4"/>
        <v>2.2452642574657586E-3</v>
      </c>
      <c r="V170" s="45">
        <f t="shared" ref="V170:V178" si="16">$N$132*$N$125^3*U170*R170</f>
        <v>7.3107810295001867</v>
      </c>
      <c r="W170" s="7">
        <f t="shared" si="6"/>
        <v>0.14121897049981325</v>
      </c>
      <c r="X170" s="7">
        <f t="shared" si="7"/>
        <v>0.14121897049981325</v>
      </c>
    </row>
    <row r="171" spans="2:24" x14ac:dyDescent="0.15">
      <c r="P171" s="7">
        <f t="shared" si="13"/>
        <v>8</v>
      </c>
      <c r="Q171" s="51">
        <f t="shared" ref="Q171:Q178" si="17">Q170+$S$135</f>
        <v>1.1335958055553186</v>
      </c>
      <c r="R171" s="48">
        <f t="shared" si="1"/>
        <v>2.1531602792362809</v>
      </c>
      <c r="S171" s="48">
        <f t="shared" si="11"/>
        <v>1.1000028771366455</v>
      </c>
      <c r="T171" s="49">
        <f t="shared" si="3"/>
        <v>7776.6339033235599</v>
      </c>
      <c r="U171" s="50">
        <f t="shared" si="4"/>
        <v>2.2493404552456505E-3</v>
      </c>
      <c r="V171" s="45">
        <f t="shared" si="16"/>
        <v>7.2569979337107577</v>
      </c>
      <c r="W171" s="7">
        <f t="shared" si="6"/>
        <v>0.19500206628924222</v>
      </c>
      <c r="X171" s="7">
        <f t="shared" si="7"/>
        <v>0.19500206628924222</v>
      </c>
    </row>
    <row r="172" spans="2:24" x14ac:dyDescent="0.15">
      <c r="B172" t="s">
        <v>184</v>
      </c>
      <c r="E172" s="26">
        <f>ROUND(E125/2*E131*E127,0)</f>
        <v>17981</v>
      </c>
      <c r="P172" s="7">
        <f t="shared" si="13"/>
        <v>9</v>
      </c>
      <c r="Q172" s="51">
        <f t="shared" si="17"/>
        <v>1.1391325675103146</v>
      </c>
      <c r="R172" s="48">
        <f t="shared" si="1"/>
        <v>2.1334583021869054</v>
      </c>
      <c r="S172" s="48">
        <f t="shared" si="11"/>
        <v>1.094722779308607</v>
      </c>
      <c r="T172" s="49">
        <f t="shared" si="3"/>
        <v>7774.260406420135</v>
      </c>
      <c r="U172" s="50">
        <f t="shared" si="4"/>
        <v>2.253443355846907E-3</v>
      </c>
      <c r="V172" s="45">
        <f t="shared" si="16"/>
        <v>7.2037104891421055</v>
      </c>
      <c r="W172" s="7">
        <f t="shared" si="6"/>
        <v>0.24828951085789441</v>
      </c>
      <c r="X172" s="7">
        <f t="shared" si="7"/>
        <v>0.24828951085789441</v>
      </c>
    </row>
    <row r="173" spans="2:24" x14ac:dyDescent="0.15">
      <c r="B173" t="s">
        <v>185</v>
      </c>
      <c r="E173" s="26">
        <f>ROUND(E125/2*E131*E127^2*2/3,0)</f>
        <v>10788</v>
      </c>
      <c r="P173" s="7">
        <f t="shared" si="13"/>
        <v>11</v>
      </c>
      <c r="Q173" s="51">
        <f t="shared" si="17"/>
        <v>1.1446693294653105</v>
      </c>
      <c r="R173" s="48">
        <f t="shared" si="1"/>
        <v>2.1139464316126952</v>
      </c>
      <c r="S173" s="48">
        <f t="shared" si="11"/>
        <v>1.0894281506916406</v>
      </c>
      <c r="T173" s="49">
        <f t="shared" si="3"/>
        <v>7771.8803776713448</v>
      </c>
      <c r="U173" s="50">
        <f t="shared" si="4"/>
        <v>2.2575726047426091E-3</v>
      </c>
      <c r="V173" s="45">
        <f t="shared" si="16"/>
        <v>7.1509073286698657</v>
      </c>
      <c r="W173" s="7">
        <f t="shared" si="6"/>
        <v>0.30109267133013429</v>
      </c>
      <c r="X173" s="7">
        <f t="shared" si="7"/>
        <v>0.30109267133013429</v>
      </c>
    </row>
    <row r="174" spans="2:24" x14ac:dyDescent="0.15">
      <c r="B174" t="s">
        <v>255</v>
      </c>
      <c r="E174" s="26">
        <f>ROUND((E125/2*E131*E127^3)/2+E148*(E126/2)^4*E168,0)</f>
        <v>7785</v>
      </c>
      <c r="P174" s="7">
        <f t="shared" si="13"/>
        <v>13</v>
      </c>
      <c r="Q174" s="51">
        <f t="shared" si="17"/>
        <v>1.1502060914203065</v>
      </c>
      <c r="R174" s="48">
        <f t="shared" si="1"/>
        <v>2.0946213588447695</v>
      </c>
      <c r="S174" s="48">
        <f t="shared" si="11"/>
        <v>1.0841196858827338</v>
      </c>
      <c r="T174" s="49">
        <f t="shared" si="3"/>
        <v>7769.4941293107604</v>
      </c>
      <c r="U174" s="50">
        <f t="shared" si="4"/>
        <v>2.2617278647503601E-3</v>
      </c>
      <c r="V174" s="45">
        <f t="shared" si="16"/>
        <v>7.0985773988033296</v>
      </c>
      <c r="W174" s="7">
        <f t="shared" si="6"/>
        <v>0.35342260119667035</v>
      </c>
      <c r="X174" s="7">
        <f t="shared" si="7"/>
        <v>0.35342260119667035</v>
      </c>
    </row>
    <row r="175" spans="2:24" x14ac:dyDescent="0.15">
      <c r="P175" s="7">
        <f t="shared" si="13"/>
        <v>15</v>
      </c>
      <c r="Q175" s="51">
        <f t="shared" si="17"/>
        <v>1.1557428533753025</v>
      </c>
      <c r="R175" s="48">
        <f t="shared" si="1"/>
        <v>2.0754798487155357</v>
      </c>
      <c r="S175" s="48">
        <f t="shared" si="11"/>
        <v>1.0787980509305031</v>
      </c>
      <c r="T175" s="49">
        <f t="shared" si="3"/>
        <v>7767.101960738958</v>
      </c>
      <c r="U175" s="50">
        <f t="shared" si="4"/>
        <v>2.2659088154269647E-3</v>
      </c>
      <c r="V175" s="45">
        <f t="shared" si="16"/>
        <v>7.0467099484469369</v>
      </c>
      <c r="W175" s="7">
        <f t="shared" si="6"/>
        <v>0.40529005155306308</v>
      </c>
      <c r="X175" s="7">
        <f t="shared" si="7"/>
        <v>0.40529005155306308</v>
      </c>
    </row>
    <row r="176" spans="2:24" x14ac:dyDescent="0.15">
      <c r="B176" t="s">
        <v>188</v>
      </c>
      <c r="E176">
        <f>ROUND((E77/1000*E172+E82/1000*E173)/(E172*E174-E173^2),6)</f>
        <v>2.2339999999999999E-3</v>
      </c>
      <c r="F176" t="s">
        <v>175</v>
      </c>
      <c r="P176" s="7">
        <f t="shared" si="13"/>
        <v>17</v>
      </c>
      <c r="Q176" s="51">
        <f t="shared" si="17"/>
        <v>1.1612796153302984</v>
      </c>
      <c r="R176" s="48">
        <f t="shared" si="1"/>
        <v>2.0565187375900997</v>
      </c>
      <c r="S176" s="48">
        <f t="shared" si="11"/>
        <v>1.0734638844294926</v>
      </c>
      <c r="T176" s="49">
        <f t="shared" si="3"/>
        <v>7764.7041590154231</v>
      </c>
      <c r="U176" s="50">
        <f t="shared" si="4"/>
        <v>2.2701151524899413E-3</v>
      </c>
      <c r="V176" s="45">
        <f t="shared" si="16"/>
        <v>6.9952945181432433</v>
      </c>
      <c r="W176" s="7">
        <f t="shared" si="6"/>
        <v>0.45670548185675663</v>
      </c>
      <c r="X176" s="7">
        <f t="shared" si="7"/>
        <v>0.45670548185675663</v>
      </c>
    </row>
    <row r="177" spans="2:24" x14ac:dyDescent="0.15">
      <c r="P177" s="7">
        <f t="shared" si="13"/>
        <v>18</v>
      </c>
      <c r="Q177" s="51">
        <f t="shared" si="17"/>
        <v>1.1668163772852944</v>
      </c>
      <c r="R177" s="48">
        <f t="shared" si="1"/>
        <v>2.0377349314609199</v>
      </c>
      <c r="S177" s="48">
        <f t="shared" si="11"/>
        <v>1.0681177985700581</v>
      </c>
      <c r="T177" s="49">
        <f t="shared" si="3"/>
        <v>7762.3009993304968</v>
      </c>
      <c r="U177" s="50">
        <f t="shared" si="4"/>
        <v>2.2743465872644576E-3</v>
      </c>
      <c r="V177" s="45">
        <f t="shared" si="16"/>
        <v>6.9443209297732897</v>
      </c>
      <c r="W177" s="7">
        <f t="shared" si="6"/>
        <v>0.50767907022671022</v>
      </c>
      <c r="X177" s="7">
        <f t="shared" si="7"/>
        <v>0.50767907022671022</v>
      </c>
    </row>
    <row r="178" spans="2:24" x14ac:dyDescent="0.15">
      <c r="B178" t="s">
        <v>189</v>
      </c>
      <c r="E178">
        <f>ROUND(E148*(E126/2)^3*E176*E167,3)</f>
        <v>7.4509999999999996</v>
      </c>
      <c r="P178" s="7">
        <f t="shared" si="13"/>
        <v>19</v>
      </c>
      <c r="Q178" s="51">
        <f t="shared" si="17"/>
        <v>1.1723531392402904</v>
      </c>
      <c r="R178" s="48">
        <f t="shared" si="1"/>
        <v>2.0191254041034306</v>
      </c>
      <c r="S178" s="48">
        <f t="shared" si="11"/>
        <v>1.0627603801458243</v>
      </c>
      <c r="T178" s="49">
        <f t="shared" si="3"/>
        <v>7759.892745458239</v>
      </c>
      <c r="U178" s="50">
        <f t="shared" si="4"/>
        <v>2.2786028461545377E-3</v>
      </c>
      <c r="V178" s="45">
        <f t="shared" si="16"/>
        <v>6.8937792766923192</v>
      </c>
      <c r="W178" s="7">
        <f t="shared" si="6"/>
        <v>0.5582207233076808</v>
      </c>
      <c r="X178" s="7">
        <f t="shared" si="7"/>
        <v>0.5582207233076808</v>
      </c>
    </row>
    <row r="179" spans="2:24" x14ac:dyDescent="0.15">
      <c r="B179" t="s">
        <v>190</v>
      </c>
      <c r="E179" s="25">
        <f>E165-E178</f>
        <v>1.000000000000334E-3</v>
      </c>
      <c r="P179" s="7">
        <f t="shared" si="13"/>
        <v>20</v>
      </c>
      <c r="Q179" s="51">
        <f t="shared" ref="Q179:Q180" si="18">Q178+$S$135</f>
        <v>1.1778899011952864</v>
      </c>
      <c r="R179" s="48">
        <f t="shared" si="1"/>
        <v>2.0006871952904199</v>
      </c>
      <c r="S179" s="48">
        <f t="shared" si="11"/>
        <v>1.0573921915206106</v>
      </c>
      <c r="T179" s="49">
        <f t="shared" si="3"/>
        <v>7757.479650191086</v>
      </c>
      <c r="U179" s="50">
        <f t="shared" si="4"/>
        <v>2.2828836701372117E-3</v>
      </c>
      <c r="V179" s="45">
        <f t="shared" ref="V179:V180" si="19">$N$132*$N$125^3*U179*R179</f>
        <v>6.8436599142791703</v>
      </c>
      <c r="W179" s="7">
        <f t="shared" si="6"/>
        <v>0.60834008572082965</v>
      </c>
      <c r="X179" s="7">
        <f t="shared" si="7"/>
        <v>0.60834008572082965</v>
      </c>
    </row>
    <row r="180" spans="2:24" x14ac:dyDescent="0.15">
      <c r="B180" t="str">
        <f>IF(ABS(E179)&gt;0.01,"よって、βを再検討する。","よって、β="&amp;E166&amp;"でほぼよい。")</f>
        <v>よって、β=1.1137でほぼよい。</v>
      </c>
      <c r="P180" s="7">
        <f t="shared" si="13"/>
        <v>21</v>
      </c>
      <c r="Q180" s="51">
        <f t="shared" si="18"/>
        <v>1.1834266631502823</v>
      </c>
      <c r="R180" s="48">
        <f t="shared" si="1"/>
        <v>1.9824174090630577</v>
      </c>
      <c r="S180" s="48">
        <f t="shared" si="11"/>
        <v>1.0520137715566182</v>
      </c>
      <c r="T180" s="49">
        <f t="shared" si="3"/>
        <v>7755.0619557570799</v>
      </c>
      <c r="U180" s="50">
        <f t="shared" si="4"/>
        <v>2.2871888142785611E-3</v>
      </c>
      <c r="V180" s="45">
        <f t="shared" si="19"/>
        <v>6.7939534508795987</v>
      </c>
      <c r="W180" s="7">
        <f t="shared" si="6"/>
        <v>0.65804654912040128</v>
      </c>
      <c r="X180" s="7">
        <f t="shared" si="7"/>
        <v>0.65804654912040128</v>
      </c>
    </row>
    <row r="181" spans="2:24" x14ac:dyDescent="0.15">
      <c r="P181" t="s">
        <v>260</v>
      </c>
    </row>
    <row r="182" spans="2:24" x14ac:dyDescent="0.15">
      <c r="B182" t="s">
        <v>191</v>
      </c>
      <c r="P182" s="7">
        <f>RANK(X182,$X$182:$X$202,1)</f>
        <v>21</v>
      </c>
      <c r="Q182" s="48">
        <f>VLOOKUP(1,$P$160:$X$180,2,FALSE)-S135</f>
        <v>1.1059119957803387</v>
      </c>
      <c r="R182" s="48">
        <f t="shared" si="1"/>
        <v>2.2546429722461703</v>
      </c>
      <c r="S182" s="48">
        <f t="shared" ref="S182:S202" si="20">$N$130/3*(2-$N$130*(1/TAN(Q182)))*(1+$N$130*(1/TAN(Q182)))^2</f>
        <v>1.1261589472462943</v>
      </c>
      <c r="T182" s="49">
        <f t="shared" ref="T182:T202" si="21">($N$127*$N$131*$N$128^3)/2+$N$132*$N$125^4*S182</f>
        <v>7788.3915171846811</v>
      </c>
      <c r="U182" s="50">
        <f t="shared" ref="U182:U202" si="22">($N$134*$N$136+$N$135*$N$137)/($N$136*T182-$N$137^2)</f>
        <v>2.2292342284826148E-3</v>
      </c>
      <c r="V182" s="45">
        <f t="shared" ref="V182:V191" si="23">$N$132*$N$125^3*U182*R182</f>
        <v>7.531108917431335</v>
      </c>
      <c r="W182" s="7">
        <f t="shared" ref="W182:W202" si="24">$N$138-V182</f>
        <v>-7.910891743133508E-2</v>
      </c>
      <c r="X182" s="7">
        <f t="shared" ref="X182:X202" si="25">ABS(W182)</f>
        <v>7.910891743133508E-2</v>
      </c>
    </row>
    <row r="183" spans="2:24" x14ac:dyDescent="0.15">
      <c r="B183" t="s">
        <v>192</v>
      </c>
      <c r="P183" s="7">
        <f t="shared" ref="P183:P202" si="26">RANK(X183,$X$182:$X$202,1)</f>
        <v>20</v>
      </c>
      <c r="Q183" s="53">
        <f>Q182+$T$135</f>
        <v>1.1064656719758383</v>
      </c>
      <c r="R183" s="48">
        <f t="shared" si="1"/>
        <v>2.2525630267854275</v>
      </c>
      <c r="S183" s="48">
        <f t="shared" si="20"/>
        <v>1.125640209374718</v>
      </c>
      <c r="T183" s="49">
        <f t="shared" si="21"/>
        <v>7788.1583353816213</v>
      </c>
      <c r="U183" s="50">
        <f t="shared" si="22"/>
        <v>2.2296294891000776E-3</v>
      </c>
      <c r="V183" s="45">
        <f t="shared" si="23"/>
        <v>7.5254954372974474</v>
      </c>
      <c r="W183" s="7">
        <f t="shared" si="24"/>
        <v>-7.3495437297447452E-2</v>
      </c>
      <c r="X183" s="7">
        <f t="shared" si="25"/>
        <v>7.3495437297447452E-2</v>
      </c>
    </row>
    <row r="184" spans="2:24" x14ac:dyDescent="0.15">
      <c r="P184" s="7">
        <f t="shared" si="26"/>
        <v>19</v>
      </c>
      <c r="Q184" s="53">
        <f t="shared" ref="Q184:Q191" si="27">Q183+$T$135</f>
        <v>1.107019348171338</v>
      </c>
      <c r="R184" s="48">
        <f t="shared" si="1"/>
        <v>2.2504851936251589</v>
      </c>
      <c r="S184" s="48">
        <f t="shared" si="20"/>
        <v>1.1251212787892568</v>
      </c>
      <c r="T184" s="49">
        <f t="shared" si="21"/>
        <v>7787.9250669502781</v>
      </c>
      <c r="U184" s="50">
        <f t="shared" si="22"/>
        <v>2.2300250368275432E-3</v>
      </c>
      <c r="V184" s="45">
        <f t="shared" si="23"/>
        <v>7.5198875197611939</v>
      </c>
      <c r="W184" s="7">
        <f t="shared" si="24"/>
        <v>-6.7887519761193893E-2</v>
      </c>
      <c r="X184" s="7">
        <f t="shared" si="25"/>
        <v>6.7887519761193893E-2</v>
      </c>
    </row>
    <row r="185" spans="2:24" x14ac:dyDescent="0.15">
      <c r="B185" t="s">
        <v>193</v>
      </c>
      <c r="E185">
        <f>ROUND((E77/1000*E173+E82/1000*E174)/(E77/1000*E172+E82/1000*E173),3)</f>
        <v>0.624</v>
      </c>
      <c r="P185" s="7">
        <f t="shared" si="26"/>
        <v>18</v>
      </c>
      <c r="Q185" s="53">
        <f t="shared" si="27"/>
        <v>1.1075730243668376</v>
      </c>
      <c r="R185" s="48">
        <f t="shared" si="1"/>
        <v>2.2484094689398439</v>
      </c>
      <c r="S185" s="48">
        <f t="shared" si="20"/>
        <v>1.1246021563943622</v>
      </c>
      <c r="T185" s="49">
        <f t="shared" si="21"/>
        <v>7787.6917122972191</v>
      </c>
      <c r="U185" s="50">
        <f t="shared" si="22"/>
        <v>2.2304208712062663E-3</v>
      </c>
      <c r="V185" s="45">
        <f t="shared" si="23"/>
        <v>7.5142851515661198</v>
      </c>
      <c r="W185" s="7">
        <f t="shared" si="24"/>
        <v>-6.2285151566119801E-2</v>
      </c>
      <c r="X185" s="7">
        <f t="shared" si="25"/>
        <v>6.2285151566119801E-2</v>
      </c>
    </row>
    <row r="186" spans="2:24" x14ac:dyDescent="0.15">
      <c r="B186" t="s">
        <v>194</v>
      </c>
      <c r="E186">
        <f>ROUND(E185*E176,6)</f>
        <v>1.3940000000000001E-3</v>
      </c>
      <c r="P186" s="7">
        <f t="shared" si="26"/>
        <v>17</v>
      </c>
      <c r="Q186" s="53">
        <f t="shared" si="27"/>
        <v>1.1081267005623372</v>
      </c>
      <c r="R186" s="48">
        <f t="shared" si="1"/>
        <v>2.246335848912838</v>
      </c>
      <c r="S186" s="48">
        <f t="shared" si="20"/>
        <v>1.1240828430907523</v>
      </c>
      <c r="T186" s="49">
        <f t="shared" si="21"/>
        <v>7787.4582718273323</v>
      </c>
      <c r="U186" s="50">
        <f t="shared" si="22"/>
        <v>2.2308169917796467E-3</v>
      </c>
      <c r="V186" s="45">
        <f t="shared" si="23"/>
        <v>7.5086883194947287</v>
      </c>
      <c r="W186" s="7">
        <f t="shared" si="24"/>
        <v>-5.6688319494728745E-2</v>
      </c>
      <c r="X186" s="7">
        <f t="shared" si="25"/>
        <v>5.6688319494728745E-2</v>
      </c>
    </row>
    <row r="187" spans="2:24" x14ac:dyDescent="0.15">
      <c r="P187" s="7">
        <f t="shared" si="26"/>
        <v>16</v>
      </c>
      <c r="Q187" s="53">
        <f t="shared" si="27"/>
        <v>1.1086803767578368</v>
      </c>
      <c r="R187" s="48">
        <f t="shared" si="1"/>
        <v>2.2442643297363447</v>
      </c>
      <c r="S187" s="48">
        <f t="shared" si="20"/>
        <v>1.1235633397754272</v>
      </c>
      <c r="T187" s="49">
        <f t="shared" si="21"/>
        <v>7787.2247459438349</v>
      </c>
      <c r="U187" s="50">
        <f t="shared" si="22"/>
        <v>2.2312133980932161E-3</v>
      </c>
      <c r="V187" s="45">
        <f t="shared" si="23"/>
        <v>7.5030970103683119</v>
      </c>
      <c r="W187" s="7">
        <f t="shared" si="24"/>
        <v>-5.1097010368311935E-2</v>
      </c>
      <c r="X187" s="7">
        <f t="shared" si="25"/>
        <v>5.1097010368311935E-2</v>
      </c>
    </row>
    <row r="188" spans="2:24" x14ac:dyDescent="0.15">
      <c r="B188" t="s">
        <v>195</v>
      </c>
      <c r="E188">
        <f>ROUND(2.4*E127*D32*(D34/E131),6)</f>
        <v>1.946E-3</v>
      </c>
      <c r="F188" t="str">
        <f>IF(E188&gt;G188,"≧","＜")</f>
        <v>≧</v>
      </c>
      <c r="G188">
        <f>E186</f>
        <v>1.3940000000000001E-3</v>
      </c>
      <c r="H188" t="str">
        <f>IF(E188&gt;G188,"OK","OUT")</f>
        <v>OK</v>
      </c>
      <c r="P188" s="7">
        <f t="shared" si="26"/>
        <v>15</v>
      </c>
      <c r="Q188" s="53">
        <f t="shared" si="27"/>
        <v>1.1092340529533364</v>
      </c>
      <c r="R188" s="48">
        <f t="shared" si="1"/>
        <v>2.2421949076113941</v>
      </c>
      <c r="S188" s="48">
        <f t="shared" si="20"/>
        <v>1.1230436473416829</v>
      </c>
      <c r="T188" s="49">
        <f t="shared" si="21"/>
        <v>7786.9911350482798</v>
      </c>
      <c r="U188" s="50">
        <f t="shared" si="22"/>
        <v>2.2316100896946391E-3</v>
      </c>
      <c r="V188" s="45">
        <f t="shared" si="23"/>
        <v>7.497511211046838</v>
      </c>
      <c r="W188" s="7">
        <f t="shared" si="24"/>
        <v>-4.5511211046838085E-2</v>
      </c>
      <c r="X188" s="7">
        <f t="shared" si="25"/>
        <v>4.5511211046838085E-2</v>
      </c>
    </row>
    <row r="189" spans="2:24" x14ac:dyDescent="0.15">
      <c r="P189" s="7">
        <f t="shared" si="26"/>
        <v>14</v>
      </c>
      <c r="Q189" s="53">
        <f t="shared" si="27"/>
        <v>1.1097877291488361</v>
      </c>
      <c r="R189" s="48">
        <f t="shared" si="1"/>
        <v>2.2401275787478152</v>
      </c>
      <c r="S189" s="48">
        <f t="shared" si="20"/>
        <v>1.1225237666791268</v>
      </c>
      <c r="T189" s="49">
        <f t="shared" si="21"/>
        <v>7786.7574395405618</v>
      </c>
      <c r="U189" s="50">
        <f t="shared" si="22"/>
        <v>2.2320070661336995E-3</v>
      </c>
      <c r="V189" s="45">
        <f t="shared" si="23"/>
        <v>7.4919309084287802</v>
      </c>
      <c r="W189" s="7">
        <f t="shared" si="24"/>
        <v>-3.9930908428780221E-2</v>
      </c>
      <c r="X189" s="7">
        <f t="shared" si="25"/>
        <v>3.9930908428780221E-2</v>
      </c>
    </row>
    <row r="190" spans="2:24" x14ac:dyDescent="0.15">
      <c r="B190" t="s">
        <v>196</v>
      </c>
      <c r="P190" s="7">
        <f t="shared" si="26"/>
        <v>13</v>
      </c>
      <c r="Q190" s="53">
        <f t="shared" si="27"/>
        <v>1.1103414053443357</v>
      </c>
      <c r="R190" s="48">
        <f t="shared" si="1"/>
        <v>2.2380623393642129</v>
      </c>
      <c r="S190" s="48">
        <f t="shared" si="20"/>
        <v>1.1220036986736923</v>
      </c>
      <c r="T190" s="49">
        <f t="shared" si="21"/>
        <v>7786.5236598189222</v>
      </c>
      <c r="U190" s="50">
        <f t="shared" si="22"/>
        <v>2.2324043269623013E-3</v>
      </c>
      <c r="V190" s="45">
        <f t="shared" si="23"/>
        <v>7.4863560894510028</v>
      </c>
      <c r="W190" s="7">
        <f t="shared" si="24"/>
        <v>-3.435608945100288E-2</v>
      </c>
      <c r="X190" s="7">
        <f t="shared" si="25"/>
        <v>3.435608945100288E-2</v>
      </c>
    </row>
    <row r="191" spans="2:24" x14ac:dyDescent="0.15">
      <c r="B191" t="s">
        <v>197</v>
      </c>
      <c r="E191">
        <f>ROUND(E131*E185^2*E176/4/E127,3)</f>
        <v>16.091000000000001</v>
      </c>
      <c r="F191" t="s">
        <v>200</v>
      </c>
      <c r="P191" s="7">
        <f t="shared" si="26"/>
        <v>11</v>
      </c>
      <c r="Q191" s="53">
        <f t="shared" si="27"/>
        <v>1.1108950815398353</v>
      </c>
      <c r="R191" s="48">
        <f t="shared" si="1"/>
        <v>2.2359991856879438</v>
      </c>
      <c r="S191" s="48">
        <f t="shared" si="20"/>
        <v>1.1214834442076531</v>
      </c>
      <c r="T191" s="49">
        <f t="shared" si="21"/>
        <v>7786.2897962799589</v>
      </c>
      <c r="U191" s="50">
        <f t="shared" si="22"/>
        <v>2.2328018717344463E-3</v>
      </c>
      <c r="V191" s="45">
        <f t="shared" si="23"/>
        <v>7.4807867410885711</v>
      </c>
      <c r="W191" s="7">
        <f t="shared" si="24"/>
        <v>-2.8786741088571155E-2</v>
      </c>
      <c r="X191" s="7">
        <f t="shared" si="25"/>
        <v>2.8786741088571155E-2</v>
      </c>
    </row>
    <row r="192" spans="2:24" x14ac:dyDescent="0.15">
      <c r="B192" t="s">
        <v>198</v>
      </c>
      <c r="E192">
        <f>ROUND(D34*D32*E185/2,3)</f>
        <v>18.722999999999999</v>
      </c>
      <c r="F192" t="s">
        <v>200</v>
      </c>
      <c r="P192" s="7">
        <f t="shared" si="26"/>
        <v>9</v>
      </c>
      <c r="Q192" s="53">
        <f>Q191+$T$135</f>
        <v>1.1114487577353349</v>
      </c>
      <c r="R192" s="48">
        <f t="shared" si="1"/>
        <v>2.2339381139550878</v>
      </c>
      <c r="S192" s="48">
        <f t="shared" si="20"/>
        <v>1.1209630041596375</v>
      </c>
      <c r="T192" s="49">
        <f t="shared" si="21"/>
        <v>7786.0558493186309</v>
      </c>
      <c r="U192" s="50">
        <f t="shared" si="22"/>
        <v>2.2331997000062383E-3</v>
      </c>
      <c r="V192" s="45">
        <f t="shared" ref="V192:V200" si="28">$N$132*$N$125^3*U192*R192</f>
        <v>7.4752228503546316</v>
      </c>
      <c r="W192" s="7">
        <f t="shared" si="24"/>
        <v>-2.3222850354631674E-2</v>
      </c>
      <c r="X192" s="7">
        <f t="shared" si="25"/>
        <v>2.3222850354631674E-2</v>
      </c>
    </row>
    <row r="193" spans="2:24" x14ac:dyDescent="0.15">
      <c r="P193" s="7">
        <f t="shared" si="26"/>
        <v>7</v>
      </c>
      <c r="Q193" s="53">
        <f t="shared" ref="Q193:Q200" si="29">Q192+$T$135</f>
        <v>1.1120024339308345</v>
      </c>
      <c r="R193" s="48">
        <f t="shared" si="1"/>
        <v>2.2318791204104289</v>
      </c>
      <c r="S193" s="48">
        <f t="shared" si="20"/>
        <v>1.1204423794046439</v>
      </c>
      <c r="T193" s="49">
        <f t="shared" si="21"/>
        <v>7785.8218193282655</v>
      </c>
      <c r="U193" s="50">
        <f t="shared" si="22"/>
        <v>2.2335978113358686E-3</v>
      </c>
      <c r="V193" s="45">
        <f t="shared" si="28"/>
        <v>7.4696644043002651</v>
      </c>
      <c r="W193" s="7">
        <f t="shared" si="24"/>
        <v>-1.7664404300265169E-2</v>
      </c>
      <c r="X193" s="7">
        <f t="shared" si="25"/>
        <v>1.7664404300265169E-2</v>
      </c>
    </row>
    <row r="194" spans="2:24" x14ac:dyDescent="0.15">
      <c r="B194" t="s">
        <v>199</v>
      </c>
      <c r="E194">
        <f>ROUND(E191/E134,3)</f>
        <v>13.409000000000001</v>
      </c>
      <c r="F194" t="str">
        <f>IF(E194&lt;G194,"&lt;Pa","&gt;Pa")</f>
        <v>&lt;Pa</v>
      </c>
      <c r="G194">
        <f>E192</f>
        <v>18.722999999999999</v>
      </c>
      <c r="H194" t="str">
        <f>IF(E194&lt;G194,"OK","OUT")</f>
        <v>OK</v>
      </c>
      <c r="P194" s="7">
        <f t="shared" si="26"/>
        <v>5</v>
      </c>
      <c r="Q194" s="53">
        <f t="shared" si="29"/>
        <v>1.1125561101263342</v>
      </c>
      <c r="R194" s="48">
        <f t="shared" si="1"/>
        <v>2.2298222013074258</v>
      </c>
      <c r="S194" s="48">
        <f t="shared" si="20"/>
        <v>1.1199215708140537</v>
      </c>
      <c r="T194" s="49">
        <f t="shared" si="21"/>
        <v>7785.587706700564</v>
      </c>
      <c r="U194" s="50">
        <f t="shared" si="22"/>
        <v>2.233996205283615E-3</v>
      </c>
      <c r="V194" s="45">
        <f t="shared" si="28"/>
        <v>7.4641113900143461</v>
      </c>
      <c r="W194" s="7">
        <f t="shared" si="24"/>
        <v>-1.2111390014346135E-2</v>
      </c>
      <c r="X194" s="7">
        <f t="shared" si="25"/>
        <v>1.2111390014346135E-2</v>
      </c>
    </row>
    <row r="195" spans="2:24" x14ac:dyDescent="0.15">
      <c r="P195" s="7">
        <f t="shared" si="26"/>
        <v>3</v>
      </c>
      <c r="Q195" s="53">
        <f t="shared" si="29"/>
        <v>1.1131097863218338</v>
      </c>
      <c r="R195" s="48">
        <f t="shared" si="1"/>
        <v>2.2277673529081912</v>
      </c>
      <c r="S195" s="48">
        <f t="shared" si="20"/>
        <v>1.1194005792556474</v>
      </c>
      <c r="T195" s="49">
        <f t="shared" si="21"/>
        <v>7785.3535118256086</v>
      </c>
      <c r="U195" s="50">
        <f t="shared" si="22"/>
        <v>2.2343948814118231E-3</v>
      </c>
      <c r="V195" s="45">
        <f t="shared" si="28"/>
        <v>7.4585637946233785</v>
      </c>
      <c r="W195" s="7">
        <f t="shared" si="24"/>
        <v>-6.5637946233785271E-3</v>
      </c>
      <c r="X195" s="7">
        <f t="shared" si="25"/>
        <v>6.5637946233785271E-3</v>
      </c>
    </row>
    <row r="196" spans="2:24" x14ac:dyDescent="0.15">
      <c r="P196" s="7">
        <f t="shared" si="26"/>
        <v>1</v>
      </c>
      <c r="Q196" s="53">
        <f t="shared" si="29"/>
        <v>1.1136634625173334</v>
      </c>
      <c r="R196" s="48">
        <f t="shared" si="1"/>
        <v>2.2257145714834663</v>
      </c>
      <c r="S196" s="48">
        <f t="shared" si="20"/>
        <v>1.1188794055936178</v>
      </c>
      <c r="T196" s="49">
        <f t="shared" si="21"/>
        <v>7785.11923509187</v>
      </c>
      <c r="U196" s="50">
        <f t="shared" si="22"/>
        <v>2.2347938392849099E-3</v>
      </c>
      <c r="V196" s="45">
        <f t="shared" si="28"/>
        <v>7.4530216052913838</v>
      </c>
      <c r="W196" s="7">
        <f t="shared" si="24"/>
        <v>-1.0216052913838425E-3</v>
      </c>
      <c r="X196" s="7">
        <f t="shared" si="25"/>
        <v>1.0216052913838425E-3</v>
      </c>
    </row>
    <row r="197" spans="2:24" x14ac:dyDescent="0.15">
      <c r="B197" t="s">
        <v>201</v>
      </c>
      <c r="P197" s="7">
        <f t="shared" si="26"/>
        <v>2</v>
      </c>
      <c r="Q197" s="53">
        <f t="shared" si="29"/>
        <v>1.114217138712833</v>
      </c>
      <c r="R197" s="48">
        <f t="shared" si="1"/>
        <v>2.2236638533125945</v>
      </c>
      <c r="S197" s="48">
        <f t="shared" si="20"/>
        <v>1.1183580506885835</v>
      </c>
      <c r="T197" s="49">
        <f t="shared" si="21"/>
        <v>7784.8848768862108</v>
      </c>
      <c r="U197" s="50">
        <f t="shared" si="22"/>
        <v>2.2351930784693485E-3</v>
      </c>
      <c r="V197" s="45">
        <f t="shared" si="28"/>
        <v>7.4474848092197314</v>
      </c>
      <c r="W197" s="7">
        <f t="shared" si="24"/>
        <v>4.5151907802685187E-3</v>
      </c>
      <c r="X197" s="7">
        <f t="shared" si="25"/>
        <v>4.5151907802685187E-3</v>
      </c>
    </row>
    <row r="198" spans="2:24" x14ac:dyDescent="0.15">
      <c r="B198" t="s">
        <v>202</v>
      </c>
      <c r="P198" s="7">
        <f t="shared" si="26"/>
        <v>4</v>
      </c>
      <c r="Q198" s="53">
        <f t="shared" si="29"/>
        <v>1.1147708149083326</v>
      </c>
      <c r="R198" s="48">
        <f t="shared" si="1"/>
        <v>2.2216151946835012</v>
      </c>
      <c r="S198" s="48">
        <f t="shared" si="20"/>
        <v>1.1178365153976051</v>
      </c>
      <c r="T198" s="49">
        <f t="shared" si="21"/>
        <v>7784.6504375938948</v>
      </c>
      <c r="U198" s="50">
        <f t="shared" si="22"/>
        <v>2.2355925985336647E-3</v>
      </c>
      <c r="V198" s="45">
        <f t="shared" si="28"/>
        <v>7.4419533936470161</v>
      </c>
      <c r="W198" s="7">
        <f t="shared" si="24"/>
        <v>1.0046606352983822E-2</v>
      </c>
      <c r="X198" s="7">
        <f t="shared" si="25"/>
        <v>1.0046606352983822E-2</v>
      </c>
    </row>
    <row r="199" spans="2:24" x14ac:dyDescent="0.15">
      <c r="B199" t="s">
        <v>203</v>
      </c>
      <c r="P199" s="7">
        <f t="shared" si="26"/>
        <v>6</v>
      </c>
      <c r="Q199" s="53">
        <f t="shared" si="29"/>
        <v>1.1153244911038322</v>
      </c>
      <c r="R199" s="48">
        <f t="shared" si="1"/>
        <v>2.2195685918926658</v>
      </c>
      <c r="S199" s="48">
        <f t="shared" si="20"/>
        <v>1.1173148005741977</v>
      </c>
      <c r="T199" s="49">
        <f t="shared" si="21"/>
        <v>7784.4159175985924</v>
      </c>
      <c r="U199" s="50">
        <f t="shared" si="22"/>
        <v>2.2359923990484276E-3</v>
      </c>
      <c r="V199" s="45">
        <f t="shared" si="28"/>
        <v>7.4364273458489061</v>
      </c>
      <c r="W199" s="7">
        <f t="shared" si="24"/>
        <v>1.5572654151093879E-2</v>
      </c>
      <c r="X199" s="7">
        <f t="shared" si="25"/>
        <v>1.5572654151093879E-2</v>
      </c>
    </row>
    <row r="200" spans="2:24" x14ac:dyDescent="0.15">
      <c r="P200" s="7">
        <f t="shared" si="26"/>
        <v>8</v>
      </c>
      <c r="Q200" s="53">
        <f t="shared" si="29"/>
        <v>1.1158781672993319</v>
      </c>
      <c r="R200" s="48">
        <f t="shared" si="1"/>
        <v>2.2175240412451007</v>
      </c>
      <c r="S200" s="48">
        <f t="shared" si="20"/>
        <v>1.1167929070683456</v>
      </c>
      <c r="T200" s="49">
        <f t="shared" si="21"/>
        <v>7784.1813172823859</v>
      </c>
      <c r="U200" s="50">
        <f t="shared" si="22"/>
        <v>2.2363924795862416E-3</v>
      </c>
      <c r="V200" s="45">
        <f t="shared" si="28"/>
        <v>7.4309066531380097</v>
      </c>
      <c r="W200" s="7">
        <f t="shared" si="24"/>
        <v>2.109334686199027E-2</v>
      </c>
      <c r="X200" s="7">
        <f t="shared" si="25"/>
        <v>2.109334686199027E-2</v>
      </c>
    </row>
    <row r="201" spans="2:24" x14ac:dyDescent="0.15">
      <c r="P201" s="7">
        <f t="shared" si="26"/>
        <v>10</v>
      </c>
      <c r="Q201" s="53">
        <f t="shared" ref="Q201:Q202" si="30">Q200+$T$135</f>
        <v>1.1164318434948315</v>
      </c>
      <c r="R201" s="48">
        <f t="shared" si="1"/>
        <v>2.215481539054327</v>
      </c>
      <c r="S201" s="48">
        <f t="shared" si="20"/>
        <v>1.1162708357265163</v>
      </c>
      <c r="T201" s="49">
        <f t="shared" si="21"/>
        <v>7783.9466370257787</v>
      </c>
      <c r="U201" s="50">
        <f t="shared" si="22"/>
        <v>2.2367928397217362E-3</v>
      </c>
      <c r="V201" s="45">
        <f t="shared" ref="V201:V202" si="31">$N$132*$N$125^3*U201*R201</f>
        <v>7.4253913028637237</v>
      </c>
      <c r="W201" s="7">
        <f t="shared" si="24"/>
        <v>2.6608697136276227E-2</v>
      </c>
      <c r="X201" s="7">
        <f t="shared" si="25"/>
        <v>2.6608697136276227E-2</v>
      </c>
    </row>
    <row r="202" spans="2:24" x14ac:dyDescent="0.15">
      <c r="P202" s="7">
        <f t="shared" si="26"/>
        <v>12</v>
      </c>
      <c r="Q202" s="53">
        <f t="shared" si="30"/>
        <v>1.1169855196903311</v>
      </c>
      <c r="R202" s="48">
        <f t="shared" si="1"/>
        <v>2.213441081642348</v>
      </c>
      <c r="S202" s="48">
        <f t="shared" si="20"/>
        <v>1.1157485873916739</v>
      </c>
      <c r="T202" s="49">
        <f t="shared" si="21"/>
        <v>7783.7118772076956</v>
      </c>
      <c r="U202" s="50">
        <f t="shared" si="22"/>
        <v>2.2371934790315737E-3</v>
      </c>
      <c r="V202" s="45">
        <f t="shared" si="31"/>
        <v>7.4198812824121347</v>
      </c>
      <c r="W202" s="7">
        <f t="shared" si="24"/>
        <v>3.211871758786522E-2</v>
      </c>
      <c r="X202" s="7">
        <f t="shared" si="25"/>
        <v>3.211871758786522E-2</v>
      </c>
    </row>
  </sheetData>
  <sheetProtection sheet="1" objects="1" scenarios="1"/>
  <mergeCells count="1">
    <mergeCell ref="E50:H50"/>
  </mergeCells>
  <phoneticPr fontId="2"/>
  <conditionalFormatting sqref="G88">
    <cfRule type="cellIs" dxfId="3" priority="4" operator="equal">
      <formula>"OUT"</formula>
    </cfRule>
  </conditionalFormatting>
  <conditionalFormatting sqref="H188">
    <cfRule type="cellIs" dxfId="2" priority="3" operator="equal">
      <formula>"OUT"</formula>
    </cfRule>
  </conditionalFormatting>
  <conditionalFormatting sqref="H194">
    <cfRule type="cellIs" dxfId="1" priority="2" operator="equal">
      <formula>"OUT"</formula>
    </cfRule>
  </conditionalFormatting>
  <conditionalFormatting sqref="G99">
    <cfRule type="cellIs" dxfId="0" priority="1" operator="equal">
      <formula>"OUT"</formula>
    </cfRule>
  </conditionalFormatting>
  <pageMargins left="0.70866141732283472" right="0.70866141732283472" top="0.74803149606299213" bottom="0.74803149606299213" header="0.31496062992125984" footer="0.31496062992125984"/>
  <pageSetup paperSize="9" scale="98" orientation="portrait" r:id="rId1"/>
  <headerFooter>
    <oddFooter>&amp;P / &amp;N ページ</oddFooter>
  </headerFooter>
  <rowBreaks count="3" manualBreakCount="3">
    <brk id="54" max="7" man="1"/>
    <brk id="101" max="7" man="1"/>
    <brk id="161" max="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6" sqref="B16"/>
    </sheetView>
  </sheetViews>
  <sheetFormatPr defaultRowHeight="13.5" x14ac:dyDescent="0.15"/>
  <cols>
    <col min="2" max="2" width="10" bestFit="1" customWidth="1"/>
    <col min="3" max="3" width="16.875" bestFit="1" customWidth="1"/>
  </cols>
  <sheetData>
    <row r="1" spans="1:11" x14ac:dyDescent="0.15">
      <c r="A1" s="7"/>
      <c r="B1" s="7" t="s">
        <v>16</v>
      </c>
      <c r="C1" s="7" t="s">
        <v>80</v>
      </c>
      <c r="D1" s="7" t="s">
        <v>81</v>
      </c>
      <c r="F1" t="s">
        <v>82</v>
      </c>
      <c r="I1" t="s">
        <v>83</v>
      </c>
    </row>
    <row r="2" spans="1:11" x14ac:dyDescent="0.15">
      <c r="A2" s="7">
        <v>1</v>
      </c>
      <c r="B2" s="7" t="s">
        <v>84</v>
      </c>
      <c r="C2" s="7">
        <v>20.100000000000001</v>
      </c>
      <c r="D2" s="7">
        <v>6</v>
      </c>
      <c r="F2" s="7">
        <v>77</v>
      </c>
      <c r="G2" s="7" t="s">
        <v>26</v>
      </c>
      <c r="I2" s="7" t="s">
        <v>85</v>
      </c>
      <c r="J2" s="7">
        <v>1.23</v>
      </c>
      <c r="K2" s="7" t="s">
        <v>86</v>
      </c>
    </row>
    <row r="3" spans="1:11" x14ac:dyDescent="0.15">
      <c r="A3" s="7">
        <v>2</v>
      </c>
      <c r="B3" s="7" t="s">
        <v>87</v>
      </c>
      <c r="C3" s="7">
        <v>36.6</v>
      </c>
      <c r="D3" s="7">
        <v>8</v>
      </c>
      <c r="F3" s="7">
        <f>F2/1000</f>
        <v>7.6999999999999999E-2</v>
      </c>
      <c r="G3" s="7" t="s">
        <v>88</v>
      </c>
    </row>
    <row r="4" spans="1:11" x14ac:dyDescent="0.15">
      <c r="A4" s="7">
        <v>3</v>
      </c>
      <c r="B4" s="7" t="s">
        <v>89</v>
      </c>
      <c r="C4" s="7">
        <v>58</v>
      </c>
      <c r="D4" s="7">
        <v>10</v>
      </c>
      <c r="F4" s="7">
        <v>9.8070000000000004</v>
      </c>
      <c r="G4" s="7"/>
    </row>
    <row r="5" spans="1:11" x14ac:dyDescent="0.15">
      <c r="A5" s="7">
        <v>4</v>
      </c>
      <c r="B5" s="7" t="s">
        <v>90</v>
      </c>
      <c r="C5" s="7">
        <v>84.3</v>
      </c>
      <c r="D5" s="7">
        <v>12</v>
      </c>
    </row>
    <row r="6" spans="1:11" x14ac:dyDescent="0.15">
      <c r="A6" s="7">
        <v>5</v>
      </c>
      <c r="B6" s="7" t="s">
        <v>91</v>
      </c>
      <c r="C6" s="7">
        <v>115.4</v>
      </c>
      <c r="D6" s="7">
        <v>14</v>
      </c>
    </row>
    <row r="7" spans="1:11" x14ac:dyDescent="0.15">
      <c r="A7" s="7">
        <v>6</v>
      </c>
      <c r="B7" s="7" t="s">
        <v>92</v>
      </c>
      <c r="C7" s="7">
        <v>156.69999999999999</v>
      </c>
      <c r="D7" s="7">
        <v>16</v>
      </c>
    </row>
    <row r="8" spans="1:11" x14ac:dyDescent="0.15">
      <c r="A8" s="7">
        <v>7</v>
      </c>
      <c r="B8" s="7" t="s">
        <v>93</v>
      </c>
      <c r="C8" s="7">
        <v>244.8</v>
      </c>
      <c r="D8" s="7">
        <v>20</v>
      </c>
    </row>
    <row r="9" spans="1:11" x14ac:dyDescent="0.15">
      <c r="A9" s="7">
        <v>8</v>
      </c>
      <c r="B9" s="7" t="s">
        <v>94</v>
      </c>
      <c r="C9" s="7">
        <v>303.39999999999998</v>
      </c>
      <c r="D9" s="7">
        <v>22</v>
      </c>
    </row>
    <row r="10" spans="1:11" x14ac:dyDescent="0.15">
      <c r="A10" s="7">
        <v>9</v>
      </c>
      <c r="B10" s="7" t="s">
        <v>95</v>
      </c>
      <c r="C10" s="7">
        <v>352.5</v>
      </c>
      <c r="D10" s="7">
        <v>24</v>
      </c>
    </row>
    <row r="11" spans="1:11" x14ac:dyDescent="0.15">
      <c r="A11" s="7">
        <v>10</v>
      </c>
      <c r="B11" s="7" t="s">
        <v>96</v>
      </c>
      <c r="C11" s="7">
        <v>459.4</v>
      </c>
      <c r="D11" s="7">
        <v>27</v>
      </c>
    </row>
    <row r="12" spans="1:11" x14ac:dyDescent="0.15">
      <c r="A12" s="7">
        <v>11</v>
      </c>
      <c r="B12" s="7" t="s">
        <v>97</v>
      </c>
      <c r="C12" s="7">
        <v>560.6</v>
      </c>
      <c r="D12" s="7">
        <v>30</v>
      </c>
    </row>
    <row r="13" spans="1:11" x14ac:dyDescent="0.15">
      <c r="A13" s="7">
        <v>12</v>
      </c>
      <c r="B13" s="7" t="s">
        <v>98</v>
      </c>
      <c r="C13" s="7">
        <v>816.7</v>
      </c>
      <c r="D13" s="7">
        <v>36</v>
      </c>
    </row>
    <row r="15" spans="1:11" x14ac:dyDescent="0.15">
      <c r="A15" t="s">
        <v>99</v>
      </c>
      <c r="B15" s="7">
        <v>7</v>
      </c>
    </row>
    <row r="16" spans="1:11" x14ac:dyDescent="0.15">
      <c r="A16" t="s">
        <v>100</v>
      </c>
      <c r="B16" s="7">
        <v>10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L22" sqref="L22"/>
    </sheetView>
  </sheetViews>
  <sheetFormatPr defaultRowHeight="13.5" x14ac:dyDescent="0.15"/>
  <sheetData>
    <row r="1" spans="1:4" x14ac:dyDescent="0.15">
      <c r="A1" t="s">
        <v>204</v>
      </c>
      <c r="B1" t="s">
        <v>205</v>
      </c>
      <c r="C1" t="s">
        <v>206</v>
      </c>
      <c r="D1" t="s">
        <v>207</v>
      </c>
    </row>
    <row r="2" spans="1:4" x14ac:dyDescent="0.15">
      <c r="A2" t="s">
        <v>78</v>
      </c>
      <c r="B2">
        <v>1</v>
      </c>
      <c r="C2">
        <f>-条件!D23/1000/2</f>
        <v>-3.8149999999999996E-2</v>
      </c>
      <c r="D2" s="27">
        <f>-条件!D18</f>
        <v>-0.9</v>
      </c>
    </row>
    <row r="3" spans="1:4" x14ac:dyDescent="0.15">
      <c r="B3">
        <v>2</v>
      </c>
      <c r="C3">
        <f>C2</f>
        <v>-3.8149999999999996E-2</v>
      </c>
      <c r="D3">
        <f>条件!D13+条件!D12-0.15</f>
        <v>3.15</v>
      </c>
    </row>
    <row r="4" spans="1:4" x14ac:dyDescent="0.15">
      <c r="B4">
        <v>3</v>
      </c>
      <c r="C4">
        <f>C3+条件!D23/1000</f>
        <v>3.8149999999999996E-2</v>
      </c>
      <c r="D4">
        <f>D3</f>
        <v>3.15</v>
      </c>
    </row>
    <row r="5" spans="1:4" x14ac:dyDescent="0.15">
      <c r="B5">
        <v>4</v>
      </c>
      <c r="C5">
        <f>C4</f>
        <v>3.8149999999999996E-2</v>
      </c>
      <c r="D5">
        <f>D2</f>
        <v>-0.9</v>
      </c>
    </row>
    <row r="6" spans="1:4" x14ac:dyDescent="0.15">
      <c r="B6">
        <v>5</v>
      </c>
      <c r="C6">
        <f>C2</f>
        <v>-3.8149999999999996E-2</v>
      </c>
      <c r="D6">
        <f>D2</f>
        <v>-0.9</v>
      </c>
    </row>
    <row r="12" spans="1:4" x14ac:dyDescent="0.15">
      <c r="A12" t="s">
        <v>110</v>
      </c>
      <c r="B12">
        <v>1</v>
      </c>
      <c r="C12">
        <f>-条件!D11/2</f>
        <v>-0.25</v>
      </c>
      <c r="D12">
        <f>条件!D13</f>
        <v>1.8</v>
      </c>
    </row>
    <row r="13" spans="1:4" x14ac:dyDescent="0.15">
      <c r="B13">
        <v>2</v>
      </c>
      <c r="C13">
        <f>C12</f>
        <v>-0.25</v>
      </c>
      <c r="D13">
        <f>D12+条件!D12</f>
        <v>3.3</v>
      </c>
    </row>
    <row r="14" spans="1:4" x14ac:dyDescent="0.15">
      <c r="B14">
        <v>3</v>
      </c>
      <c r="C14">
        <f>C13+条件!D11</f>
        <v>0.25</v>
      </c>
      <c r="D14">
        <f>D13</f>
        <v>3.3</v>
      </c>
    </row>
    <row r="15" spans="1:4" x14ac:dyDescent="0.15">
      <c r="B15">
        <v>4</v>
      </c>
      <c r="C15">
        <f>C14</f>
        <v>0.25</v>
      </c>
      <c r="D15">
        <f>D12</f>
        <v>1.8</v>
      </c>
    </row>
    <row r="16" spans="1:4" x14ac:dyDescent="0.15">
      <c r="B16">
        <v>5</v>
      </c>
      <c r="C16">
        <f>C12</f>
        <v>-0.25</v>
      </c>
      <c r="D16">
        <f>D12</f>
        <v>1.8</v>
      </c>
    </row>
    <row r="17" spans="1:4" x14ac:dyDescent="0.15">
      <c r="A17" t="s">
        <v>7</v>
      </c>
      <c r="B17">
        <v>1</v>
      </c>
      <c r="C17">
        <f>-条件!D16/2</f>
        <v>-0.3</v>
      </c>
      <c r="D17" s="27">
        <f>-条件!D18</f>
        <v>-0.9</v>
      </c>
    </row>
    <row r="18" spans="1:4" x14ac:dyDescent="0.15">
      <c r="B18">
        <v>2</v>
      </c>
      <c r="C18">
        <f>C17</f>
        <v>-0.3</v>
      </c>
      <c r="D18">
        <v>0</v>
      </c>
    </row>
    <row r="19" spans="1:4" x14ac:dyDescent="0.15">
      <c r="B19">
        <v>3</v>
      </c>
      <c r="C19">
        <f>条件!D16/2</f>
        <v>0.3</v>
      </c>
      <c r="D19">
        <f>D18</f>
        <v>0</v>
      </c>
    </row>
    <row r="20" spans="1:4" x14ac:dyDescent="0.15">
      <c r="B20">
        <v>4</v>
      </c>
      <c r="C20">
        <f>C19</f>
        <v>0.3</v>
      </c>
      <c r="D20" s="27">
        <f>D17</f>
        <v>-0.9</v>
      </c>
    </row>
    <row r="21" spans="1:4" x14ac:dyDescent="0.15">
      <c r="B21">
        <v>5</v>
      </c>
      <c r="C21">
        <f>C17</f>
        <v>-0.3</v>
      </c>
      <c r="D21" s="27">
        <f>D17</f>
        <v>-0.9</v>
      </c>
    </row>
  </sheetData>
  <sheetProtection sheet="1" objects="1" scenarios="1"/>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条件</vt:lpstr>
      <vt:lpstr>計算</vt:lpstr>
      <vt:lpstr>数値表</vt:lpstr>
      <vt:lpstr>図化</vt:lpstr>
      <vt:lpstr>計算!Print_Area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sangyo</dc:creator>
  <cp:lastModifiedBy>sakawa</cp:lastModifiedBy>
  <cp:lastPrinted>2016-12-15T00:57:55Z</cp:lastPrinted>
  <dcterms:created xsi:type="dcterms:W3CDTF">2016-12-02T05:14:11Z</dcterms:created>
  <dcterms:modified xsi:type="dcterms:W3CDTF">2016-12-16T23:09:52Z</dcterms:modified>
</cp:coreProperties>
</file>